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<sst xmlns="http://schemas.openxmlformats.org/spreadsheetml/2006/main" count="779" uniqueCount="389">
  <si>
    <t>ОТЧЕТ ОБ ИСПОЛНЕНИИ БЮДЖЕТА</t>
  </si>
  <si>
    <t>на 1 октября 2023 г.</t>
  </si>
  <si>
    <t>Наименование финансового органа</t>
  </si>
  <si>
    <t>УФК ПО ИРКУТСКОЙ ОБЛАСТИ (АДМИНИСТРАЦИЯ КУЛТУКСКОГО ГОРОДСКОГО ПОСЕЛЕНИЯ СЛЮДЯНСКОГО РАЙОНА)</t>
  </si>
  <si>
    <t/>
  </si>
  <si>
    <t>Наименование публично-правового образования</t>
  </si>
  <si>
    <t>Бюджет Култукского городского поселения</t>
  </si>
  <si>
    <t>Периодичность:</t>
  </si>
  <si>
    <t>месячная, квартальная, годовая</t>
  </si>
  <si>
    <t>Единица измерения:</t>
  </si>
  <si>
    <t>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</si>
  <si>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</si>
  <si>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</si>
  <si>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</si>
  <si>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</si>
  <si>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</si>
  <si>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</si>
  <si>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</si>
  <si>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</si>
  <si>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</si>
  <si>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</si>
  <si>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</si>
  <si>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</si>
  <si>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</si>
  <si>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</si>
  <si>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</si>
  <si>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</si>
  <si>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</si>
  <si>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</si>
  <si>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</si>
  <si>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</si>
  <si>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</si>
  <si>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</si>
  <si>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</si>
  <si>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</si>
  <si>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</si>
  <si>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</si>
  <si>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</si>
  <si>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</si>
  <si>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</si>
  <si>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10102040 01 0000 110</t>
  </si>
  <si>
    <t>-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</si>
  <si>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</si>
  <si>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</si>
  <si>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</si>
  <si>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</si>
  <si>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</si>
  <si>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</si>
  <si>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</si>
  <si>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</si>
  <si>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</si>
  <si>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</si>
  <si>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</si>
  <si>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</si>
  <si>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</si>
  <si>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</si>
  <si>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</si>
  <si>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</si>
  <si>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</si>
  <si>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</si>
  <si>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</si>
  <si>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</si>
  <si>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</si>
  <si>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</si>
  <si>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</si>
  <si>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</si>
  <si>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</si>
  <si>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10601030 13 0000 110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</si>
  <si>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</si>
  <si>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</si>
  <si>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</si>
  <si>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</si>
  <si>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городских поселений</t>
  </si>
  <si>
    <t>10606033 13 0000 110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</si>
  <si>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</si>
  <si>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</si>
  <si>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городских поселений</t>
  </si>
  <si>
    <t>10606043 13 0000 110</t>
  </si>
  <si>
    <t>ГОСУДАРСТВЕННАЯ ПОШЛИНА</t>
  </si>
  <si>
    <t>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</si>
  <si>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</si>
  <si>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</si>
  <si>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</si>
  <si>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10804020 01 0000 110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</si>
  <si>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</si>
  <si>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</si>
  <si>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</si>
  <si>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</si>
  <si>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</si>
  <si>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</si>
  <si>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</si>
  <si>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</si>
  <si>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</si>
  <si>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</si>
  <si>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</si>
  <si>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</si>
  <si>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</si>
  <si>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</si>
  <si>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</si>
  <si>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</si>
  <si>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</si>
  <si>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</si>
  <si>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</si>
  <si>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</si>
  <si>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</si>
  <si>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11109080 13 0000 120</t>
  </si>
  <si>
    <t>ДОХОДЫ ОТ ПРОДАЖИ МАТЕРИАЛЬНЫХ И НЕМАТЕРИАЛЬНЫХ АКТИВОВ</t>
  </si>
  <si>
    <t>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</si>
  <si>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</si>
  <si>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</si>
  <si>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</si>
  <si>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</si>
  <si>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</si>
  <si>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11402053 13 0000 410</t>
  </si>
  <si>
    <t>ШТРАФЫ, САНКЦИИ, ВОЗМЕЩЕНИЕ УЩЕРБА</t>
  </si>
  <si>
    <t>11600000 00 0000 000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</si>
  <si>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</si>
  <si>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</si>
  <si>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</si>
  <si>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</si>
  <si>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</si>
  <si>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11607010 13 0000 140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</si>
  <si>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</si>
  <si>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11618000 02 0000 140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</si>
  <si>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</si>
  <si>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</si>
  <si>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</si>
  <si>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</si>
  <si>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городских поселений</t>
  </si>
  <si>
    <t>11701050 13 0000 180</t>
  </si>
  <si>
    <t>Прочие неналоговые доходы</t>
  </si>
  <si>
    <t>11705000 00 0000 180</t>
  </si>
  <si>
    <t>Прочие неналоговые доходы бюджетов городских поселений</t>
  </si>
  <si>
    <t>11705050 13 0000 180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</si>
  <si>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</si>
  <si>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</si>
  <si>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</si>
  <si>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</si>
  <si>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Дотации бюджетам бюджетной системы Российской Федерации</t>
  </si>
  <si>
    <t>20210000 00 0000 150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</si>
  <si>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</si>
  <si>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</si>
  <si>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</si>
  <si>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20216001 13 0000 150</t>
  </si>
  <si>
    <t>Субсидии бюджетам бюджетной системы Российской Федерации (межбюджетные субсидии)</t>
  </si>
  <si>
    <t>20220000 00 0000 150</t>
  </si>
  <si>
    <t>Субсидии бюджетам на софинансирование капитальных вложений в объекты муниципальной собственности</t>
  </si>
  <si>
    <t>20220077 00 0000 150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</si>
  <si>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</si>
  <si>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20220077 13 0000 150</t>
  </si>
  <si>
    <t>Субсидии бюджетам на реализацию программ формирования современной городской среды</t>
  </si>
  <si>
    <t>20225555 00 0000 150</t>
  </si>
  <si>
    <t>Субсидии бюджетам городских поселений на реализацию программ формирования современной городской среды</t>
  </si>
  <si>
    <t>20225555 13 0000 150</t>
  </si>
  <si>
    <t>Прочие субсидии</t>
  </si>
  <si>
    <t>20229999 00 0000 150</t>
  </si>
  <si>
    <t>Прочие субсидии бюджетам городских поселений</t>
  </si>
  <si>
    <t>20229999 13 0000 150</t>
  </si>
  <si>
    <t>Субвенции бюджетам бюджетной системы Российской Федерации</t>
  </si>
  <si>
    <t>20230000 00 0000 150</t>
  </si>
  <si>
    <t>Субвенции местным бюджетам на выполнение передаваемых полномочий субъектов Российской Федерации</t>
  </si>
  <si>
    <t>20230024 00 0000 150</t>
  </si>
  <si>
    <t>Субвенции бюджетам городских поселений на выполнение передаваемых полномочий субъектов Российской Федерации</t>
  </si>
  <si>
    <t>20230024 13 0000 150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</si>
  <si>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</si>
  <si>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20235118 00 0000 150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</si>
  <si>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</si>
  <si>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20235118 13 0000 150</t>
  </si>
  <si>
    <t>Иные межбюджетные трансферты</t>
  </si>
  <si>
    <t>20240000 00 0000 150</t>
  </si>
  <si>
    <t>Прочие межбюджетные трансферты, передаваемые бюджетам</t>
  </si>
  <si>
    <t>20249999 00 0000 150</t>
  </si>
  <si>
    <t>Прочие межбюджетные трансферты, передаваемые бюджетам городских поселений</t>
  </si>
  <si>
    <t>20249999 13 0000 150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</si>
  <si>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</si>
  <si>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</si>
  <si>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</si>
  <si>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20805000 13 0000 150</t>
  </si>
  <si>
    <t>2. Расходы бюджета</t>
  </si>
  <si>
    <t>Расходы бюджета всего, в т.ч.</t>
  </si>
  <si>
    <t>200</t>
  </si>
  <si>
    <t>Функционирование высшего должностного лица субъекта Российской Федерации и муниципального образования</t>
  </si>
  <si>
    <t>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</si>
  <si>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</si>
  <si>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0102 0000000000 100</t>
  </si>
  <si>
    <t>Фонд оплаты труда государственных (муниципальных) органов и взносы по обязательному социальному страхованию</t>
  </si>
  <si>
    <t>0102 7310143110 121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</si>
  <si>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</si>
  <si>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0102 7310143110 129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</si>
  <si>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</si>
  <si>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0103 0000000000 000</t>
  </si>
  <si>
    <t>0103 0000000000 100</t>
  </si>
  <si>
    <t>Иные выплаты государственных(муниципальных) органов привлекаемым лицам</t>
  </si>
  <si>
    <t>0103 8910129110 123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</si>
  <si>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</si>
  <si>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0104 0000000000 000</t>
  </si>
  <si>
    <t>0104 0000000000 100</t>
  </si>
  <si>
    <t>0104 7310243130 121</t>
  </si>
  <si>
    <t>0104 7310243130 129</t>
  </si>
  <si>
    <t>Закупка товаров, работ и услуг для обеспечения государственных (муниципальных) нужд</t>
  </si>
  <si>
    <t>0104 0000000000 200</t>
  </si>
  <si>
    <t>Закупка товаров, работ, услуг в сфере информационно-коммуникационных технологий</t>
  </si>
  <si>
    <t>0104 7310243130 242</t>
  </si>
  <si>
    <t>Прочая закупка товаров, работ и услуг</t>
  </si>
  <si>
    <t>0104 7310243130 244</t>
  </si>
  <si>
    <t>Закупка энергетических ресурсов</t>
  </si>
  <si>
    <t>0104 7310243130 247</t>
  </si>
  <si>
    <t>Иные бюджетные ассигнования</t>
  </si>
  <si>
    <t>0104 0000000000 800</t>
  </si>
  <si>
    <t>Уплата прочих налогов, сборов</t>
  </si>
  <si>
    <t>0104 7310243130 852</t>
  </si>
  <si>
    <t>Уплата иных платежей</t>
  </si>
  <si>
    <t>0104 7310243130 853</t>
  </si>
  <si>
    <t>Резервные фонды</t>
  </si>
  <si>
    <t>0111 0000000000 000</t>
  </si>
  <si>
    <t>0111 0000000000 800</t>
  </si>
  <si>
    <t>Резервные средства</t>
  </si>
  <si>
    <t>0111 7340143310 870</t>
  </si>
  <si>
    <t>Другие общегосударственные вопросы</t>
  </si>
  <si>
    <t>0113 0000000000 000</t>
  </si>
  <si>
    <t>0113 0000000000 200</t>
  </si>
  <si>
    <t>0113 732П273150 244</t>
  </si>
  <si>
    <t>0113 7420124210 244</t>
  </si>
  <si>
    <t>0113 7420124220 244</t>
  </si>
  <si>
    <t>0113 7420124330 244</t>
  </si>
  <si>
    <t>0113 7420124330 247</t>
  </si>
  <si>
    <t>0113 0000000000 800</t>
  </si>
  <si>
    <t>Исполнение судебных актов Российской Федерации и мировых соглашений по возмещению причиненного вреда</t>
  </si>
  <si>
    <t>0113 7340243320 831</t>
  </si>
  <si>
    <t>0113 7420124230 852</t>
  </si>
  <si>
    <t>0113 7340243320 853</t>
  </si>
  <si>
    <t>0113 7420124230 853</t>
  </si>
  <si>
    <t>Мобилизационная и вневойсковая подготовка</t>
  </si>
  <si>
    <t>0203 0000000000 000</t>
  </si>
  <si>
    <t>0203 0000000000 100</t>
  </si>
  <si>
    <t>0203 733П351180 121</t>
  </si>
  <si>
    <t>0203 733П351180 129</t>
  </si>
  <si>
    <t>0203 0000000000 200</t>
  </si>
  <si>
    <t>0203 733П351180 244</t>
  </si>
  <si>
    <t>Защита населения и территории от чрезвычайных ситуаций природного и техногенного характера, пожарная безопасность</t>
  </si>
  <si>
    <t>0310 0000000000 000</t>
  </si>
  <si>
    <t>0310 0000000000 200</t>
  </si>
  <si>
    <t>0310 7510125110 244</t>
  </si>
  <si>
    <t>0310 7510125120 244</t>
  </si>
  <si>
    <t>0310 7510125130 244</t>
  </si>
  <si>
    <t>0310 7510125140 244</t>
  </si>
  <si>
    <t>0310 7510141120 244</t>
  </si>
  <si>
    <t>0310 7520125210 244</t>
  </si>
  <si>
    <t>0310 7520125220 244</t>
  </si>
  <si>
    <t>Общеэкономические вопросы</t>
  </si>
  <si>
    <t>0401 0000000000 000</t>
  </si>
  <si>
    <t>0401 0000000000 100</t>
  </si>
  <si>
    <t>0401 732П173110 121</t>
  </si>
  <si>
    <t>0401 732П173110 129</t>
  </si>
  <si>
    <t>0401 0000000000 200</t>
  </si>
  <si>
    <t>0401 732П173110 244</t>
  </si>
  <si>
    <t>Дорожное хозяйство (дорожные фонды)</t>
  </si>
  <si>
    <t>0409 0000000000 000</t>
  </si>
  <si>
    <t>0409 0000000000 200</t>
  </si>
  <si>
    <t>0409 7710127110 244</t>
  </si>
  <si>
    <t>0409 7720127210 244</t>
  </si>
  <si>
    <t>0409 7720127220 244</t>
  </si>
  <si>
    <t>0409 77201S2370 244</t>
  </si>
  <si>
    <t>0409 7720227310 244</t>
  </si>
  <si>
    <t>Другие вопросы в области национальной экономики</t>
  </si>
  <si>
    <t>0412 0000000000 000</t>
  </si>
  <si>
    <t>0412 0000000000 200</t>
  </si>
  <si>
    <t>0412 7410124110 244</t>
  </si>
  <si>
    <t>Предоставление субсидий бюджетным, автономным учреждениям и иным некоммерческим организациям</t>
  </si>
  <si>
    <t>0412 0000000000 600</t>
  </si>
  <si>
    <t>Субсидии на возмещение недополученных доходов и (или) возмещение фактически понесенных затрат</t>
  </si>
  <si>
    <t>0412 8930129310 631</t>
  </si>
  <si>
    <t>Жилищное хозяйство</t>
  </si>
  <si>
    <t>0501 0000000000 000</t>
  </si>
  <si>
    <t>0501 0000000000 200</t>
  </si>
  <si>
    <t>0501 7110121110 244</t>
  </si>
  <si>
    <t>0501 7110221210 244</t>
  </si>
  <si>
    <t>0501 7110421410 244</t>
  </si>
  <si>
    <t>0501 7110421410 247</t>
  </si>
  <si>
    <t>Коммунальное хозяйство</t>
  </si>
  <si>
    <t>0502 0000000000 000</t>
  </si>
  <si>
    <t>0502 0000000000 200</t>
  </si>
  <si>
    <t>0502 71201S2200 244</t>
  </si>
  <si>
    <t>0502 7120222210 244</t>
  </si>
  <si>
    <t>0502 7120222220 244</t>
  </si>
  <si>
    <t>0502 7120322310 244</t>
  </si>
  <si>
    <t>0502 7120322330 244</t>
  </si>
  <si>
    <t>0502 7120622610 244</t>
  </si>
  <si>
    <t>0502 7120841110 244</t>
  </si>
  <si>
    <t>Капитальные вложения в объекты государственной (муниципальной) собственности</t>
  </si>
  <si>
    <t>0502 0000000000 400</t>
  </si>
  <si>
    <t>Бюджетные инвестиции в объекты капитального строительства государственной (муниципальной) собственности</t>
  </si>
  <si>
    <t>0502 71208S2430 414</t>
  </si>
  <si>
    <t>0502 0000000000 800</t>
  </si>
  <si>
    <t>0502 7120841110 853</t>
  </si>
  <si>
    <t>Благоустройство</t>
  </si>
  <si>
    <t>0503 0000000000 000</t>
  </si>
  <si>
    <t>0503 0000000000 200</t>
  </si>
  <si>
    <t>0503 7800328301 244</t>
  </si>
  <si>
    <t>0503 780F255551 244</t>
  </si>
  <si>
    <t>0503 7910129500 244</t>
  </si>
  <si>
    <t>0503 7910144300 244</t>
  </si>
  <si>
    <t>0503 79101S2370 244</t>
  </si>
  <si>
    <t>0503 79101S2380 244</t>
  </si>
  <si>
    <t>0503 79101Б1100 244</t>
  </si>
  <si>
    <t>0503 79101Б1200 244</t>
  </si>
  <si>
    <t>0503 79101Б1300 244</t>
  </si>
  <si>
    <t>0503 79102Б2100 244</t>
  </si>
  <si>
    <t>0503 79101Б1100 247</t>
  </si>
  <si>
    <t>Молодежная политика</t>
  </si>
  <si>
    <t>0707 0000000000 000</t>
  </si>
  <si>
    <t>0707 0000000000 200</t>
  </si>
  <si>
    <t>0707 80101М1000 244</t>
  </si>
  <si>
    <t>0707 8100141120 244</t>
  </si>
  <si>
    <t>Культура</t>
  </si>
  <si>
    <t>0801 0000000000 000</t>
  </si>
  <si>
    <t>0801 0000000000 100</t>
  </si>
  <si>
    <t>Фонд оплаты труда учреждений</t>
  </si>
  <si>
    <t>0801 7610126110 111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</si>
  <si>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</si>
  <si>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0801 7610126110 119</t>
  </si>
  <si>
    <t>0801 0000000000 200</t>
  </si>
  <si>
    <t>Закупка товаров, работ, услуг в целях капитального ремонта государственного (муниципального) имущества</t>
  </si>
  <si>
    <t>0801 7610241110 243</t>
  </si>
  <si>
    <t>0801 76102S2120 243</t>
  </si>
  <si>
    <t>0801 7610126110 244</t>
  </si>
  <si>
    <t>0801 7620126210 244</t>
  </si>
  <si>
    <t>0801 7610126110 247</t>
  </si>
  <si>
    <t>Пенсионное обеспечение</t>
  </si>
  <si>
    <t>1001 0000000000 000</t>
  </si>
  <si>
    <t>Социальное обеспечение и иные выплаты населению</t>
  </si>
  <si>
    <t>1001 0000000000 300</t>
  </si>
  <si>
    <t>Пособия, компенсации и иные социальные выплаты гражданам, кроме публичных нормативных обязательств</t>
  </si>
  <si>
    <t>1001 8920129210 321</t>
  </si>
  <si>
    <t>Социальное обеспечение населения</t>
  </si>
  <si>
    <t>1003 0000000000 000</t>
  </si>
  <si>
    <t>1003 0000000000 300</t>
  </si>
  <si>
    <t>Иные выплаты населению</t>
  </si>
  <si>
    <t>1003 7340143310 360</t>
  </si>
  <si>
    <t>Прочие межбюджетные трансферты общего характера</t>
  </si>
  <si>
    <t>1403 0000000000 000</t>
  </si>
  <si>
    <t>Межбюджетные трансферты</t>
  </si>
  <si>
    <t>1403 0000000000 500</t>
  </si>
  <si>
    <t>1403 7340341210 540</t>
  </si>
  <si>
    <t>1403 7340341230 540</t>
  </si>
  <si>
    <t>1403 7340341240 540</t>
  </si>
  <si>
    <t>1403 7340341250 540</t>
  </si>
  <si>
    <t>1403 7340341260 540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</si>
  <si>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</si>
  <si>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</si>
  <si>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</si>
  <si>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</si>
  <si>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</si>
  <si>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</si>
  <si>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</si>
  <si>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</si>
  <si>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ВНУТРЕННЕГО ФИНАНСИРОВАНИЯ ДЕФИЦИТОВ БЮДЖЕТОВ</t>
  </si>
  <si>
    <t>01000000 00 0000 000</t>
  </si>
  <si>
    <t>Кредиты кредитных организаций в валюте Российской Федерации</t>
  </si>
  <si>
    <t>01020000 00 0000 000</t>
  </si>
  <si>
    <t>Привлечение кредитов от кредитных организаций в валюте Российской Федерации</t>
  </si>
  <si>
    <t>01020000 00 0000 700</t>
  </si>
  <si>
    <t>Привлечение городскими поселениями кредитов от кредитных организаций в валюте Российской Федерации</t>
  </si>
  <si>
    <t>01020000 13 0000 710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</si>
  <si>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</si>
  <si>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</si>
  <si>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</si>
  <si>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</si>
  <si>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</si>
  <si>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</si>
  <si>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</si>
  <si>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</si>
  <si>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</si>
  <si>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</si>
  <si>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</si>
  <si>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</si>
  <si>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городских поселений</t>
  </si>
  <si>
    <t>01050201 13 0000 510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</si>
  <si>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</si>
  <si>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</si>
  <si>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</si>
  <si>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</si>
  <si>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</si>
  <si>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</si>
  <si>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</si>
  <si>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городских поселений</t>
  </si>
  <si>
    <t>01050201 13 0000 610</t>
  </si>
  <si>
    <t>Култукского городского поселения за 9 месяцев 2023 года</t>
  </si>
  <si>
    <t>Приложение  №1  к постановлению администрации Култукского городского поселения  от  09.10.2023г  №323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</si>
</sst>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4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right" vertical="center" wrapText="1"/>
    </xf>
    <xf numFmtId="4" fontId="3" fillId="33" borderId="19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9" xfId="0" applyNumberFormat="1" applyFont="1" applyFill="1" applyBorder="1" applyAlignment="1">
      <alignment horizontal="right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0" fontId="3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24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right" vertical="center" wrapText="1"/>
    </xf>
    <xf numFmtId="4" fontId="3" fillId="33" borderId="28" xfId="0" applyNumberFormat="1" applyFont="1" applyFill="1" applyBorder="1" applyAlignment="1">
      <alignment horizontal="right" vertical="center" wrapText="1"/>
    </xf>
    <xf numFmtId="0" fontId="3" fillId="33" borderId="29" xfId="0" applyNumberFormat="1" applyFont="1" applyFill="1" applyBorder="1" applyAlignment="1">
      <alignment horizontal="left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right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0" fontId="3" fillId="33" borderId="30" xfId="0" applyNumberFormat="1" applyFont="1" applyFill="1" applyBorder="1" applyAlignment="1">
      <alignment horizontal="right" vertical="center" wrapText="1"/>
    </xf>
    <xf numFmtId="0" fontId="3" fillId="33" borderId="31" xfId="0" applyNumberFormat="1" applyFont="1" applyFill="1" applyBorder="1" applyAlignment="1">
      <alignment horizontal="right" vertical="center" wrapText="1"/>
    </xf>
    <xf numFmtId="0" fontId="3" fillId="33" borderId="32" xfId="0" applyNumberFormat="1" applyFont="1" applyFill="1" applyBorder="1" applyAlignment="1">
      <alignment horizontal="left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left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right" vertical="center" wrapText="1"/>
    </xf>
    <xf numFmtId="0" fontId="3" fillId="33" borderId="39" xfId="0" applyNumberFormat="1" applyFont="1" applyFill="1" applyBorder="1" applyAlignment="1">
      <alignment horizontal="right" vertical="center" wrapText="1"/>
    </xf>
    <xf numFmtId="0" fontId="3" fillId="33" borderId="40" xfId="0" applyNumberFormat="1" applyFont="1" applyFill="1" applyBorder="1" applyAlignment="1">
      <alignment horizontal="right" vertical="center" wrapText="1"/>
    </xf>
    <xf numFmtId="4" fontId="3" fillId="33" borderId="41" xfId="0" applyNumberFormat="1" applyFont="1" applyFill="1" applyBorder="1" applyAlignment="1">
      <alignment horizontal="right" vertical="center" wrapText="1"/>
    </xf>
    <xf numFmtId="4" fontId="3" fillId="33" borderId="42" xfId="0" applyNumberFormat="1" applyFont="1" applyFill="1" applyBorder="1" applyAlignment="1">
      <alignment horizontal="right" vertical="center" wrapText="1"/>
    </xf>
    <xf numFmtId="4" fontId="3" fillId="33" borderId="43" xfId="0" applyNumberFormat="1" applyFont="1" applyFill="1" applyBorder="1" applyAlignment="1">
      <alignment horizontal="right" vertical="center" wrapText="1"/>
    </xf>
    <xf numFmtId="4" fontId="3" fillId="33" borderId="44" xfId="0" applyNumberFormat="1" applyFont="1" applyFill="1" applyBorder="1" applyAlignment="1">
      <alignment horizontal="right" vertical="center" wrapText="1"/>
    </xf>
    <xf numFmtId="0" fontId="3" fillId="33" borderId="43" xfId="0" applyNumberFormat="1" applyFont="1" applyFill="1" applyBorder="1" applyAlignment="1">
      <alignment horizontal="right" vertical="center" wrapText="1"/>
    </xf>
    <xf numFmtId="0" fontId="3" fillId="33" borderId="44" xfId="0" applyNumberFormat="1" applyFont="1" applyFill="1" applyBorder="1" applyAlignment="1">
      <alignment horizontal="right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7"/>
  <sheetViews>
    <sheetView tabSelected="1" view="pageBreakPreview" zoomScale="90" zoomScaleSheetLayoutView="90" zoomScalePageLayoutView="0" workbookViewId="0" topLeftCell="A73">
      <selection activeCell="E10" sqref="E10:S1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6:24" ht="12.75" customHeight="1">
      <c r="P1" s="5" t="s">
        <v>388</v>
      </c>
      <c r="Q1" s="6"/>
      <c r="R1" s="6"/>
      <c r="S1" s="6"/>
      <c r="T1" s="6"/>
      <c r="U1" s="6"/>
      <c r="V1" s="6"/>
      <c r="W1" s="6"/>
      <c r="X1" s="6"/>
    </row>
    <row r="2" spans="16:24" ht="15.75" customHeight="1"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21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3"/>
    </row>
    <row r="4" spans="1:24" s="1" customFormat="1" ht="13.5" customHeight="1">
      <c r="A4" s="8" t="s">
        <v>387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3"/>
    </row>
    <row r="5" spans="1:24" s="1" customFormat="1" ht="13.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"/>
      <c r="W5" s="9"/>
      <c r="X5" s="4"/>
    </row>
    <row r="6" spans="1:24" s="1" customFormat="1" ht="13.5" customHeight="1">
      <c r="A6" s="10" t="s">
        <v>2</v>
      </c>
      <c r="B6" s="10"/>
      <c r="C6" s="10"/>
      <c r="D6" s="10"/>
      <c r="E6" s="10"/>
      <c r="F6" s="11" t="s">
        <v>3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/>
      <c r="V6" s="9"/>
      <c r="W6" s="9"/>
      <c r="X6" s="3"/>
    </row>
    <row r="7" spans="1:24" s="1" customFormat="1" ht="13.5" customHeight="1">
      <c r="A7" s="10"/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9"/>
      <c r="V7" s="9"/>
      <c r="W7" s="9"/>
      <c r="X7" s="3"/>
    </row>
    <row r="8" spans="1:24" s="1" customFormat="1" ht="13.5" customHeight="1">
      <c r="A8" s="10" t="s">
        <v>5</v>
      </c>
      <c r="B8" s="10"/>
      <c r="C8" s="10"/>
      <c r="D8" s="10"/>
      <c r="E8" s="10"/>
      <c r="F8" s="10"/>
      <c r="G8" s="11" t="s">
        <v>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3"/>
    </row>
    <row r="9" spans="1:24" s="1" customFormat="1" ht="13.5" customHeight="1">
      <c r="A9" s="2" t="s">
        <v>7</v>
      </c>
      <c r="B9" s="10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3"/>
    </row>
    <row r="10" spans="1:24" s="1" customFormat="1" ht="13.5" customHeight="1">
      <c r="A10" s="10" t="s">
        <v>9</v>
      </c>
      <c r="B10" s="10"/>
      <c r="C10" s="10"/>
      <c r="D10" s="10"/>
      <c r="E10" s="10" t="s">
        <v>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/>
      <c r="V10" s="9"/>
      <c r="W10" s="9"/>
      <c r="X10" s="3"/>
    </row>
    <row r="11" spans="1:24" s="1" customFormat="1" ht="13.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1" customFormat="1" ht="34.5" customHeight="1">
      <c r="A12" s="12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13</v>
      </c>
      <c r="M12" s="12"/>
      <c r="N12" s="12" t="s">
        <v>14</v>
      </c>
      <c r="O12" s="12"/>
      <c r="P12" s="13" t="s">
        <v>15</v>
      </c>
      <c r="Q12" s="13"/>
      <c r="R12" s="13"/>
      <c r="S12" s="13" t="s">
        <v>16</v>
      </c>
      <c r="T12" s="13"/>
      <c r="U12" s="13"/>
      <c r="V12" s="13"/>
      <c r="W12" s="14" t="s">
        <v>17</v>
      </c>
      <c r="X12" s="14"/>
    </row>
    <row r="13" spans="1:24" s="1" customFormat="1" ht="12.75" customHeight="1">
      <c r="A13" s="15" t="s">
        <v>18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 t="s">
        <v>19</v>
      </c>
      <c r="M13" s="15"/>
      <c r="N13" s="15" t="s">
        <v>20</v>
      </c>
      <c r="O13" s="15"/>
      <c r="P13" s="16" t="s">
        <v>21</v>
      </c>
      <c r="Q13" s="16"/>
      <c r="R13" s="16"/>
      <c r="S13" s="16" t="s">
        <v>22</v>
      </c>
      <c r="T13" s="16"/>
      <c r="U13" s="16"/>
      <c r="V13" s="16"/>
      <c r="W13" s="17" t="s">
        <v>23</v>
      </c>
      <c r="X13" s="17"/>
    </row>
    <row r="14" spans="1:24" s="1" customFormat="1" ht="13.5" customHeight="1">
      <c r="A14" s="18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 t="s">
        <v>25</v>
      </c>
      <c r="M14" s="19"/>
      <c r="N14" s="19" t="s">
        <v>26</v>
      </c>
      <c r="O14" s="19"/>
      <c r="P14" s="20">
        <f>84583635.67</f>
        <v>84583635.67</v>
      </c>
      <c r="Q14" s="20"/>
      <c r="R14" s="20"/>
      <c r="S14" s="20">
        <f>37544078.3</f>
        <v>37544078.3</v>
      </c>
      <c r="T14" s="20"/>
      <c r="U14" s="20"/>
      <c r="V14" s="20"/>
      <c r="W14" s="21">
        <f>47039557.37</f>
        <v>47039557.37</v>
      </c>
      <c r="X14" s="21"/>
    </row>
    <row r="15" spans="1:24" s="1" customFormat="1" ht="13.5" customHeight="1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 t="s">
        <v>25</v>
      </c>
      <c r="M15" s="23"/>
      <c r="N15" s="23" t="s">
        <v>28</v>
      </c>
      <c r="O15" s="23"/>
      <c r="P15" s="24">
        <f>16239067.77</f>
        <v>16239067.77</v>
      </c>
      <c r="Q15" s="24"/>
      <c r="R15" s="24"/>
      <c r="S15" s="24">
        <f>10400145.91</f>
        <v>10400145.91</v>
      </c>
      <c r="T15" s="24"/>
      <c r="U15" s="24"/>
      <c r="V15" s="24"/>
      <c r="W15" s="25">
        <f>5838921.86</f>
        <v>5838921.86</v>
      </c>
      <c r="X15" s="25"/>
    </row>
    <row r="16" spans="1:24" s="1" customFormat="1" ht="13.5" customHeight="1">
      <c r="A16" s="22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 t="s">
        <v>25</v>
      </c>
      <c r="M16" s="23"/>
      <c r="N16" s="23" t="s">
        <v>30</v>
      </c>
      <c r="O16" s="23"/>
      <c r="P16" s="24">
        <f>6179909</f>
        <v>6179909</v>
      </c>
      <c r="Q16" s="24"/>
      <c r="R16" s="24"/>
      <c r="S16" s="24">
        <f>5037056.92</f>
        <v>5037056.92</v>
      </c>
      <c r="T16" s="24"/>
      <c r="U16" s="24"/>
      <c r="V16" s="24"/>
      <c r="W16" s="25">
        <f>1142852.08</f>
        <v>1142852.08</v>
      </c>
      <c r="X16" s="25"/>
    </row>
    <row r="17" spans="1:24" s="1" customFormat="1" ht="13.5" customHeight="1">
      <c r="A17" s="22" t="s">
        <v>31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3" t="s">
        <v>25</v>
      </c>
      <c r="M17" s="23"/>
      <c r="N17" s="23" t="s">
        <v>32</v>
      </c>
      <c r="O17" s="23"/>
      <c r="P17" s="24">
        <f>6179909</f>
        <v>6179909</v>
      </c>
      <c r="Q17" s="24"/>
      <c r="R17" s="24"/>
      <c r="S17" s="24">
        <f>5037056.92</f>
        <v>5037056.92</v>
      </c>
      <c r="T17" s="24"/>
      <c r="U17" s="24"/>
      <c r="V17" s="24"/>
      <c r="W17" s="25">
        <f>1142852.08</f>
        <v>1142852.08</v>
      </c>
      <c r="X17" s="25"/>
    </row>
    <row r="18" spans="1:24" s="1" customFormat="1" ht="57.75" customHeight="1">
      <c r="A18" s="22" t="s">
        <v>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 t="s">
        <v>25</v>
      </c>
      <c r="M18" s="23"/>
      <c r="N18" s="23" t="s">
        <v>34</v>
      </c>
      <c r="O18" s="23"/>
      <c r="P18" s="24">
        <f>6158880</f>
        <v>6158880</v>
      </c>
      <c r="Q18" s="24"/>
      <c r="R18" s="24"/>
      <c r="S18" s="24">
        <f>5019849.23</f>
        <v>5019849.23</v>
      </c>
      <c r="T18" s="24"/>
      <c r="U18" s="24"/>
      <c r="V18" s="24"/>
      <c r="W18" s="25">
        <f>1139030.77</f>
        <v>1139030.77</v>
      </c>
      <c r="X18" s="25"/>
    </row>
    <row r="19" spans="1:24" s="1" customFormat="1" ht="69" customHeight="1">
      <c r="A19" s="22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 t="s">
        <v>25</v>
      </c>
      <c r="M19" s="23"/>
      <c r="N19" s="23" t="s">
        <v>36</v>
      </c>
      <c r="O19" s="23"/>
      <c r="P19" s="24">
        <f>277</f>
        <v>277</v>
      </c>
      <c r="Q19" s="24"/>
      <c r="R19" s="24"/>
      <c r="S19" s="24">
        <f>134.94</f>
        <v>134.94</v>
      </c>
      <c r="T19" s="24"/>
      <c r="U19" s="24"/>
      <c r="V19" s="24"/>
      <c r="W19" s="25">
        <f>142.06</f>
        <v>142.06</v>
      </c>
      <c r="X19" s="25"/>
    </row>
    <row r="20" spans="1:24" s="1" customFormat="1" ht="24" customHeight="1">
      <c r="A20" s="22" t="s">
        <v>37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 t="s">
        <v>25</v>
      </c>
      <c r="M20" s="23"/>
      <c r="N20" s="23" t="s">
        <v>38</v>
      </c>
      <c r="O20" s="23"/>
      <c r="P20" s="24">
        <f>20752</f>
        <v>20752</v>
      </c>
      <c r="Q20" s="24"/>
      <c r="R20" s="24"/>
      <c r="S20" s="24">
        <f>8589.35</f>
        <v>8589.35</v>
      </c>
      <c r="T20" s="24"/>
      <c r="U20" s="24"/>
      <c r="V20" s="24"/>
      <c r="W20" s="25">
        <f>12162.65</f>
        <v>12162.65</v>
      </c>
      <c r="X20" s="25"/>
    </row>
    <row r="21" spans="1:24" s="1" customFormat="1" ht="57.75" customHeight="1">
      <c r="A21" s="22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 t="s">
        <v>25</v>
      </c>
      <c r="M21" s="23"/>
      <c r="N21" s="23" t="s">
        <v>40</v>
      </c>
      <c r="O21" s="23"/>
      <c r="P21" s="26" t="s">
        <v>41</v>
      </c>
      <c r="Q21" s="26"/>
      <c r="R21" s="26"/>
      <c r="S21" s="24">
        <f>8483.4</f>
        <v>8483.4</v>
      </c>
      <c r="T21" s="24"/>
      <c r="U21" s="24"/>
      <c r="V21" s="24"/>
      <c r="W21" s="27" t="s">
        <v>41</v>
      </c>
      <c r="X21" s="27"/>
    </row>
    <row r="22" spans="1:24" s="1" customFormat="1" ht="24" customHeight="1">
      <c r="A22" s="22" t="s">
        <v>42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3" t="s">
        <v>25</v>
      </c>
      <c r="M22" s="23"/>
      <c r="N22" s="23" t="s">
        <v>43</v>
      </c>
      <c r="O22" s="23"/>
      <c r="P22" s="24">
        <f>1832940</f>
        <v>1832940</v>
      </c>
      <c r="Q22" s="24"/>
      <c r="R22" s="24"/>
      <c r="S22" s="24">
        <f>1543503.4</f>
        <v>1543503.4</v>
      </c>
      <c r="T22" s="24"/>
      <c r="U22" s="24"/>
      <c r="V22" s="24"/>
      <c r="W22" s="25">
        <f>289436.6</f>
        <v>289436.6</v>
      </c>
      <c r="X22" s="25"/>
    </row>
    <row r="23" spans="1:24" s="1" customFormat="1" ht="24" customHeight="1">
      <c r="A23" s="22" t="s">
        <v>44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 t="s">
        <v>25</v>
      </c>
      <c r="M23" s="23"/>
      <c r="N23" s="23" t="s">
        <v>45</v>
      </c>
      <c r="O23" s="23"/>
      <c r="P23" s="24">
        <f>1832940</f>
        <v>1832940</v>
      </c>
      <c r="Q23" s="24"/>
      <c r="R23" s="24"/>
      <c r="S23" s="24">
        <f>1543503.4</f>
        <v>1543503.4</v>
      </c>
      <c r="T23" s="24"/>
      <c r="U23" s="24"/>
      <c r="V23" s="24"/>
      <c r="W23" s="25">
        <f>289436.6</f>
        <v>289436.6</v>
      </c>
      <c r="X23" s="25"/>
    </row>
    <row r="24" spans="1:24" s="1" customFormat="1" ht="47.25" customHeight="1">
      <c r="A24" s="22" t="s">
        <v>46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25</v>
      </c>
      <c r="M24" s="23"/>
      <c r="N24" s="23" t="s">
        <v>47</v>
      </c>
      <c r="O24" s="23"/>
      <c r="P24" s="24">
        <f>868170</f>
        <v>868170</v>
      </c>
      <c r="Q24" s="24"/>
      <c r="R24" s="24"/>
      <c r="S24" s="24">
        <f>790639.29</f>
        <v>790639.29</v>
      </c>
      <c r="T24" s="24"/>
      <c r="U24" s="24"/>
      <c r="V24" s="24"/>
      <c r="W24" s="25">
        <f>77530.71</f>
        <v>77530.71</v>
      </c>
      <c r="X24" s="25"/>
    </row>
    <row r="25" spans="1:24" s="1" customFormat="1" ht="68.25" customHeight="1">
      <c r="A25" s="22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 t="s">
        <v>25</v>
      </c>
      <c r="M25" s="23"/>
      <c r="N25" s="23" t="s">
        <v>49</v>
      </c>
      <c r="O25" s="23"/>
      <c r="P25" s="24">
        <f>868170</f>
        <v>868170</v>
      </c>
      <c r="Q25" s="24"/>
      <c r="R25" s="24"/>
      <c r="S25" s="24">
        <f>790639.29</f>
        <v>790639.29</v>
      </c>
      <c r="T25" s="24"/>
      <c r="U25" s="24"/>
      <c r="V25" s="24"/>
      <c r="W25" s="25">
        <f>77530.71</f>
        <v>77530.71</v>
      </c>
      <c r="X25" s="25"/>
    </row>
    <row r="26" spans="1:24" s="1" customFormat="1" ht="60" customHeight="1">
      <c r="A26" s="22" t="s">
        <v>50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3" t="s">
        <v>25</v>
      </c>
      <c r="M26" s="23"/>
      <c r="N26" s="23" t="s">
        <v>51</v>
      </c>
      <c r="O26" s="23"/>
      <c r="P26" s="24">
        <f>6030</f>
        <v>6030</v>
      </c>
      <c r="Q26" s="24"/>
      <c r="R26" s="24"/>
      <c r="S26" s="24">
        <f>4260.07</f>
        <v>4260.07</v>
      </c>
      <c r="T26" s="24"/>
      <c r="U26" s="24"/>
      <c r="V26" s="24"/>
      <c r="W26" s="25">
        <f>1769.93</f>
        <v>1769.93</v>
      </c>
      <c r="X26" s="25"/>
    </row>
    <row r="27" spans="1:24" s="1" customFormat="1" ht="75.75" customHeight="1">
      <c r="A27" s="22" t="s">
        <v>52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 t="s">
        <v>25</v>
      </c>
      <c r="M27" s="23"/>
      <c r="N27" s="23" t="s">
        <v>53</v>
      </c>
      <c r="O27" s="23"/>
      <c r="P27" s="24">
        <f>6030</f>
        <v>6030</v>
      </c>
      <c r="Q27" s="24"/>
      <c r="R27" s="24"/>
      <c r="S27" s="24">
        <f>4260.07</f>
        <v>4260.07</v>
      </c>
      <c r="T27" s="24"/>
      <c r="U27" s="24"/>
      <c r="V27" s="24"/>
      <c r="W27" s="25">
        <f>1769.93</f>
        <v>1769.93</v>
      </c>
      <c r="X27" s="25"/>
    </row>
    <row r="28" spans="1:24" s="1" customFormat="1" ht="45" customHeight="1">
      <c r="A28" s="22" t="s">
        <v>54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 t="s">
        <v>25</v>
      </c>
      <c r="M28" s="23"/>
      <c r="N28" s="23" t="s">
        <v>55</v>
      </c>
      <c r="O28" s="23"/>
      <c r="P28" s="24">
        <f>1073240</f>
        <v>1073240</v>
      </c>
      <c r="Q28" s="24"/>
      <c r="R28" s="24"/>
      <c r="S28" s="24">
        <f>841367.73</f>
        <v>841367.73</v>
      </c>
      <c r="T28" s="24"/>
      <c r="U28" s="24"/>
      <c r="V28" s="24"/>
      <c r="W28" s="25">
        <f>231872.27</f>
        <v>231872.27</v>
      </c>
      <c r="X28" s="25"/>
    </row>
    <row r="29" spans="1:24" s="1" customFormat="1" ht="72.75" customHeight="1">
      <c r="A29" s="22" t="s">
        <v>56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 t="s">
        <v>25</v>
      </c>
      <c r="M29" s="23"/>
      <c r="N29" s="23" t="s">
        <v>57</v>
      </c>
      <c r="O29" s="23"/>
      <c r="P29" s="24">
        <f>1073240</f>
        <v>1073240</v>
      </c>
      <c r="Q29" s="24"/>
      <c r="R29" s="24"/>
      <c r="S29" s="24">
        <f>841367.73</f>
        <v>841367.73</v>
      </c>
      <c r="T29" s="24"/>
      <c r="U29" s="24"/>
      <c r="V29" s="24"/>
      <c r="W29" s="25">
        <f>231872.27</f>
        <v>231872.27</v>
      </c>
      <c r="X29" s="25"/>
    </row>
    <row r="30" spans="1:24" s="1" customFormat="1" ht="45" customHeight="1">
      <c r="A30" s="22" t="s">
        <v>58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 t="s">
        <v>25</v>
      </c>
      <c r="M30" s="23"/>
      <c r="N30" s="23" t="s">
        <v>59</v>
      </c>
      <c r="O30" s="23"/>
      <c r="P30" s="24">
        <f>-114500</f>
        <v>-114500</v>
      </c>
      <c r="Q30" s="24"/>
      <c r="R30" s="24"/>
      <c r="S30" s="24">
        <f>-92763.69</f>
        <v>-92763.69</v>
      </c>
      <c r="T30" s="24"/>
      <c r="U30" s="24"/>
      <c r="V30" s="24"/>
      <c r="W30" s="25">
        <f>-21736.31</f>
        <v>-21736.31</v>
      </c>
      <c r="X30" s="25"/>
    </row>
    <row r="31" spans="1:24" s="1" customFormat="1" ht="72" customHeight="1">
      <c r="A31" s="22" t="s">
        <v>60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 t="s">
        <v>25</v>
      </c>
      <c r="M31" s="23"/>
      <c r="N31" s="23" t="s">
        <v>61</v>
      </c>
      <c r="O31" s="23"/>
      <c r="P31" s="24">
        <f>-114500</f>
        <v>-114500</v>
      </c>
      <c r="Q31" s="24"/>
      <c r="R31" s="24"/>
      <c r="S31" s="24">
        <f>-92763.69</f>
        <v>-92763.69</v>
      </c>
      <c r="T31" s="24"/>
      <c r="U31" s="24"/>
      <c r="V31" s="24"/>
      <c r="W31" s="25">
        <f>-21736.31</f>
        <v>-21736.31</v>
      </c>
      <c r="X31" s="25"/>
    </row>
    <row r="32" spans="1:24" s="1" customFormat="1" ht="13.5" customHeight="1">
      <c r="A32" s="22" t="s">
        <v>62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 t="s">
        <v>25</v>
      </c>
      <c r="M32" s="23"/>
      <c r="N32" s="23" t="s">
        <v>63</v>
      </c>
      <c r="O32" s="23"/>
      <c r="P32" s="24">
        <f>4289370</f>
        <v>4289370</v>
      </c>
      <c r="Q32" s="24"/>
      <c r="R32" s="24"/>
      <c r="S32" s="24">
        <f>1510997.53</f>
        <v>1510997.53</v>
      </c>
      <c r="T32" s="24"/>
      <c r="U32" s="24"/>
      <c r="V32" s="24"/>
      <c r="W32" s="25">
        <f>2778372.47</f>
        <v>2778372.47</v>
      </c>
      <c r="X32" s="25"/>
    </row>
    <row r="33" spans="1:24" s="1" customFormat="1" ht="13.5" customHeight="1">
      <c r="A33" s="22" t="s">
        <v>64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3" t="s">
        <v>25</v>
      </c>
      <c r="M33" s="23"/>
      <c r="N33" s="23" t="s">
        <v>65</v>
      </c>
      <c r="O33" s="23"/>
      <c r="P33" s="24">
        <f>496370</f>
        <v>496370</v>
      </c>
      <c r="Q33" s="24"/>
      <c r="R33" s="24"/>
      <c r="S33" s="24">
        <f>140588.42</f>
        <v>140588.42</v>
      </c>
      <c r="T33" s="24"/>
      <c r="U33" s="24"/>
      <c r="V33" s="24"/>
      <c r="W33" s="25">
        <f>355781.58</f>
        <v>355781.58</v>
      </c>
      <c r="X33" s="25"/>
    </row>
    <row r="34" spans="1:24" s="1" customFormat="1" ht="24" customHeight="1">
      <c r="A34" s="22" t="s">
        <v>66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 t="s">
        <v>25</v>
      </c>
      <c r="M34" s="23"/>
      <c r="N34" s="23" t="s">
        <v>67</v>
      </c>
      <c r="O34" s="23"/>
      <c r="P34" s="24">
        <f>496370</f>
        <v>496370</v>
      </c>
      <c r="Q34" s="24"/>
      <c r="R34" s="24"/>
      <c r="S34" s="24">
        <f>140588.42</f>
        <v>140588.42</v>
      </c>
      <c r="T34" s="24"/>
      <c r="U34" s="24"/>
      <c r="V34" s="24"/>
      <c r="W34" s="25">
        <f>355781.58</f>
        <v>355781.58</v>
      </c>
      <c r="X34" s="25"/>
    </row>
    <row r="35" spans="1:24" s="1" customFormat="1" ht="13.5" customHeight="1">
      <c r="A35" s="22" t="s">
        <v>68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 t="s">
        <v>25</v>
      </c>
      <c r="M35" s="23"/>
      <c r="N35" s="23" t="s">
        <v>69</v>
      </c>
      <c r="O35" s="23"/>
      <c r="P35" s="24">
        <f>3793000</f>
        <v>3793000</v>
      </c>
      <c r="Q35" s="24"/>
      <c r="R35" s="24"/>
      <c r="S35" s="24">
        <f>1370409.11</f>
        <v>1370409.11</v>
      </c>
      <c r="T35" s="24"/>
      <c r="U35" s="24"/>
      <c r="V35" s="24"/>
      <c r="W35" s="25">
        <f>2422590.89</f>
        <v>2422590.89</v>
      </c>
      <c r="X35" s="25"/>
    </row>
    <row r="36" spans="1:24" s="1" customFormat="1" ht="13.5" customHeight="1">
      <c r="A36" s="22" t="s">
        <v>70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3" t="s">
        <v>25</v>
      </c>
      <c r="M36" s="23"/>
      <c r="N36" s="23" t="s">
        <v>71</v>
      </c>
      <c r="O36" s="23"/>
      <c r="P36" s="24">
        <f>2078000</f>
        <v>2078000</v>
      </c>
      <c r="Q36" s="24"/>
      <c r="R36" s="24"/>
      <c r="S36" s="24">
        <f>983410.86</f>
        <v>983410.86</v>
      </c>
      <c r="T36" s="24"/>
      <c r="U36" s="24"/>
      <c r="V36" s="24"/>
      <c r="W36" s="25">
        <f>1094589.14</f>
        <v>1094589.14</v>
      </c>
      <c r="X36" s="25"/>
    </row>
    <row r="37" spans="1:24" s="1" customFormat="1" ht="24" customHeight="1">
      <c r="A37" s="22" t="s">
        <v>72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3" t="s">
        <v>25</v>
      </c>
      <c r="M37" s="23"/>
      <c r="N37" s="23" t="s">
        <v>73</v>
      </c>
      <c r="O37" s="23"/>
      <c r="P37" s="24">
        <f>2078000</f>
        <v>2078000</v>
      </c>
      <c r="Q37" s="24"/>
      <c r="R37" s="24"/>
      <c r="S37" s="24">
        <f>983410.86</f>
        <v>983410.86</v>
      </c>
      <c r="T37" s="24"/>
      <c r="U37" s="24"/>
      <c r="V37" s="24"/>
      <c r="W37" s="25">
        <f>1094589.14</f>
        <v>1094589.14</v>
      </c>
      <c r="X37" s="25"/>
    </row>
    <row r="38" spans="1:24" s="1" customFormat="1" ht="13.5" customHeight="1">
      <c r="A38" s="22" t="s">
        <v>74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3" t="s">
        <v>25</v>
      </c>
      <c r="M38" s="23"/>
      <c r="N38" s="23" t="s">
        <v>75</v>
      </c>
      <c r="O38" s="23"/>
      <c r="P38" s="24">
        <f>1715000</f>
        <v>1715000</v>
      </c>
      <c r="Q38" s="24"/>
      <c r="R38" s="24"/>
      <c r="S38" s="24">
        <f>386998.25</f>
        <v>386998.25</v>
      </c>
      <c r="T38" s="24"/>
      <c r="U38" s="24"/>
      <c r="V38" s="24"/>
      <c r="W38" s="25">
        <f>1328001.75</f>
        <v>1328001.75</v>
      </c>
      <c r="X38" s="25"/>
    </row>
    <row r="39" spans="1:24" s="1" customFormat="1" ht="24" customHeight="1">
      <c r="A39" s="22" t="s">
        <v>76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 t="s">
        <v>25</v>
      </c>
      <c r="M39" s="23"/>
      <c r="N39" s="23" t="s">
        <v>77</v>
      </c>
      <c r="O39" s="23"/>
      <c r="P39" s="24">
        <f>1715000</f>
        <v>1715000</v>
      </c>
      <c r="Q39" s="24"/>
      <c r="R39" s="24"/>
      <c r="S39" s="24">
        <f>386998.25</f>
        <v>386998.25</v>
      </c>
      <c r="T39" s="24"/>
      <c r="U39" s="24"/>
      <c r="V39" s="24"/>
      <c r="W39" s="25">
        <f>1328001.75</f>
        <v>1328001.75</v>
      </c>
      <c r="X39" s="25"/>
    </row>
    <row r="40" spans="1:24" s="1" customFormat="1" ht="13.5" customHeight="1">
      <c r="A40" s="22" t="s">
        <v>78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3" t="s">
        <v>25</v>
      </c>
      <c r="M40" s="23"/>
      <c r="N40" s="23" t="s">
        <v>79</v>
      </c>
      <c r="O40" s="23"/>
      <c r="P40" s="24">
        <f>100</f>
        <v>100</v>
      </c>
      <c r="Q40" s="24"/>
      <c r="R40" s="24"/>
      <c r="S40" s="24">
        <f>100</f>
        <v>100</v>
      </c>
      <c r="T40" s="24"/>
      <c r="U40" s="24"/>
      <c r="V40" s="24"/>
      <c r="W40" s="25">
        <f>0</f>
        <v>0</v>
      </c>
      <c r="X40" s="25"/>
    </row>
    <row r="41" spans="1:24" s="1" customFormat="1" ht="33.75" customHeight="1">
      <c r="A41" s="22" t="s">
        <v>80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3" t="s">
        <v>25</v>
      </c>
      <c r="M41" s="23"/>
      <c r="N41" s="23" t="s">
        <v>81</v>
      </c>
      <c r="O41" s="23"/>
      <c r="P41" s="24">
        <f>100</f>
        <v>100</v>
      </c>
      <c r="Q41" s="24"/>
      <c r="R41" s="24"/>
      <c r="S41" s="24">
        <f>100</f>
        <v>100</v>
      </c>
      <c r="T41" s="24"/>
      <c r="U41" s="24"/>
      <c r="V41" s="24"/>
      <c r="W41" s="25">
        <f>0</f>
        <v>0</v>
      </c>
      <c r="X41" s="25"/>
    </row>
    <row r="42" spans="1:24" s="1" customFormat="1" ht="45" customHeight="1">
      <c r="A42" s="22" t="s">
        <v>82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3" t="s">
        <v>25</v>
      </c>
      <c r="M42" s="23"/>
      <c r="N42" s="23" t="s">
        <v>83</v>
      </c>
      <c r="O42" s="23"/>
      <c r="P42" s="24">
        <f>100</f>
        <v>100</v>
      </c>
      <c r="Q42" s="24"/>
      <c r="R42" s="24"/>
      <c r="S42" s="24">
        <f>100</f>
        <v>100</v>
      </c>
      <c r="T42" s="24"/>
      <c r="U42" s="24"/>
      <c r="V42" s="24"/>
      <c r="W42" s="25">
        <f>0</f>
        <v>0</v>
      </c>
      <c r="X42" s="25"/>
    </row>
    <row r="43" spans="1:24" s="1" customFormat="1" ht="24" customHeight="1">
      <c r="A43" s="22" t="s">
        <v>84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 t="s">
        <v>25</v>
      </c>
      <c r="M43" s="23"/>
      <c r="N43" s="23" t="s">
        <v>85</v>
      </c>
      <c r="O43" s="23"/>
      <c r="P43" s="24">
        <f>3892781.3</f>
        <v>3892781.3</v>
      </c>
      <c r="Q43" s="24"/>
      <c r="R43" s="24"/>
      <c r="S43" s="24">
        <f>2176538.41</f>
        <v>2176538.41</v>
      </c>
      <c r="T43" s="24"/>
      <c r="U43" s="24"/>
      <c r="V43" s="24"/>
      <c r="W43" s="25">
        <f>1716242.89</f>
        <v>1716242.89</v>
      </c>
      <c r="X43" s="25"/>
    </row>
    <row r="44" spans="1:24" s="1" customFormat="1" ht="54.75" customHeight="1">
      <c r="A44" s="22" t="s">
        <v>86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3" t="s">
        <v>25</v>
      </c>
      <c r="M44" s="23"/>
      <c r="N44" s="23" t="s">
        <v>87</v>
      </c>
      <c r="O44" s="23"/>
      <c r="P44" s="24">
        <f>2320401</f>
        <v>2320401</v>
      </c>
      <c r="Q44" s="24"/>
      <c r="R44" s="24"/>
      <c r="S44" s="24">
        <f>1345129.32</f>
        <v>1345129.32</v>
      </c>
      <c r="T44" s="24"/>
      <c r="U44" s="24"/>
      <c r="V44" s="24"/>
      <c r="W44" s="25">
        <f>975271.68</f>
        <v>975271.68</v>
      </c>
      <c r="X44" s="25"/>
    </row>
    <row r="45" spans="1:24" s="1" customFormat="1" ht="45" customHeight="1">
      <c r="A45" s="22" t="s">
        <v>88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 t="s">
        <v>25</v>
      </c>
      <c r="M45" s="23"/>
      <c r="N45" s="23" t="s">
        <v>89</v>
      </c>
      <c r="O45" s="23"/>
      <c r="P45" s="24">
        <f>2133967</f>
        <v>2133967</v>
      </c>
      <c r="Q45" s="24"/>
      <c r="R45" s="24"/>
      <c r="S45" s="24">
        <f>1268617.23</f>
        <v>1268617.23</v>
      </c>
      <c r="T45" s="24"/>
      <c r="U45" s="24"/>
      <c r="V45" s="24"/>
      <c r="W45" s="25">
        <f>865349.77</f>
        <v>865349.77</v>
      </c>
      <c r="X45" s="25"/>
    </row>
    <row r="46" spans="1:24" s="1" customFormat="1" ht="45" customHeight="1">
      <c r="A46" s="22" t="s">
        <v>90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 t="s">
        <v>25</v>
      </c>
      <c r="M46" s="23"/>
      <c r="N46" s="23" t="s">
        <v>91</v>
      </c>
      <c r="O46" s="23"/>
      <c r="P46" s="24">
        <f>2133967</f>
        <v>2133967</v>
      </c>
      <c r="Q46" s="24"/>
      <c r="R46" s="24"/>
      <c r="S46" s="24">
        <f>1268617.23</f>
        <v>1268617.23</v>
      </c>
      <c r="T46" s="24"/>
      <c r="U46" s="24"/>
      <c r="V46" s="24"/>
      <c r="W46" s="25">
        <f>865349.77</f>
        <v>865349.77</v>
      </c>
      <c r="X46" s="25"/>
    </row>
    <row r="47" spans="1:24" s="1" customFormat="1" ht="45" customHeight="1">
      <c r="A47" s="22" t="s">
        <v>92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 t="s">
        <v>25</v>
      </c>
      <c r="M47" s="23"/>
      <c r="N47" s="23" t="s">
        <v>93</v>
      </c>
      <c r="O47" s="23"/>
      <c r="P47" s="24">
        <f>186434</f>
        <v>186434</v>
      </c>
      <c r="Q47" s="24"/>
      <c r="R47" s="24"/>
      <c r="S47" s="24">
        <f>76512.09</f>
        <v>76512.09</v>
      </c>
      <c r="T47" s="24"/>
      <c r="U47" s="24"/>
      <c r="V47" s="24"/>
      <c r="W47" s="25">
        <f>109921.91</f>
        <v>109921.91</v>
      </c>
      <c r="X47" s="25"/>
    </row>
    <row r="48" spans="1:24" s="1" customFormat="1" ht="45" customHeight="1">
      <c r="A48" s="22" t="s">
        <v>94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3" t="s">
        <v>25</v>
      </c>
      <c r="M48" s="23"/>
      <c r="N48" s="23" t="s">
        <v>95</v>
      </c>
      <c r="O48" s="23"/>
      <c r="P48" s="24">
        <f>186434</f>
        <v>186434</v>
      </c>
      <c r="Q48" s="24"/>
      <c r="R48" s="24"/>
      <c r="S48" s="24">
        <f>76512.09</f>
        <v>76512.09</v>
      </c>
      <c r="T48" s="24"/>
      <c r="U48" s="24"/>
      <c r="V48" s="24"/>
      <c r="W48" s="25">
        <f>109921.91</f>
        <v>109921.91</v>
      </c>
      <c r="X48" s="25"/>
    </row>
    <row r="49" spans="1:24" s="1" customFormat="1" ht="45" customHeight="1">
      <c r="A49" s="22" t="s">
        <v>96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 t="s">
        <v>25</v>
      </c>
      <c r="M49" s="23"/>
      <c r="N49" s="23" t="s">
        <v>97</v>
      </c>
      <c r="O49" s="23"/>
      <c r="P49" s="24">
        <f>1572380.3</f>
        <v>1572380.3</v>
      </c>
      <c r="Q49" s="24"/>
      <c r="R49" s="24"/>
      <c r="S49" s="24">
        <f>831409.09</f>
        <v>831409.09</v>
      </c>
      <c r="T49" s="24"/>
      <c r="U49" s="24"/>
      <c r="V49" s="24"/>
      <c r="W49" s="25">
        <f>740971.21</f>
        <v>740971.21</v>
      </c>
      <c r="X49" s="25"/>
    </row>
    <row r="50" spans="1:24" s="1" customFormat="1" ht="45" customHeight="1">
      <c r="A50" s="22" t="s">
        <v>98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3" t="s">
        <v>25</v>
      </c>
      <c r="M50" s="23"/>
      <c r="N50" s="23" t="s">
        <v>99</v>
      </c>
      <c r="O50" s="23"/>
      <c r="P50" s="24">
        <f>1555616</f>
        <v>1555616</v>
      </c>
      <c r="Q50" s="24"/>
      <c r="R50" s="24"/>
      <c r="S50" s="24">
        <f>773183.59</f>
        <v>773183.59</v>
      </c>
      <c r="T50" s="24"/>
      <c r="U50" s="24"/>
      <c r="V50" s="24"/>
      <c r="W50" s="25">
        <f>782432.41</f>
        <v>782432.41</v>
      </c>
      <c r="X50" s="25"/>
    </row>
    <row r="51" spans="1:24" s="1" customFormat="1" ht="45" customHeight="1">
      <c r="A51" s="22" t="s">
        <v>100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 t="s">
        <v>25</v>
      </c>
      <c r="M51" s="23"/>
      <c r="N51" s="23" t="s">
        <v>101</v>
      </c>
      <c r="O51" s="23"/>
      <c r="P51" s="24">
        <f>1555616</f>
        <v>1555616</v>
      </c>
      <c r="Q51" s="24"/>
      <c r="R51" s="24"/>
      <c r="S51" s="24">
        <f>773183.59</f>
        <v>773183.59</v>
      </c>
      <c r="T51" s="24"/>
      <c r="U51" s="24"/>
      <c r="V51" s="24"/>
      <c r="W51" s="25">
        <f>782432.41</f>
        <v>782432.41</v>
      </c>
      <c r="X51" s="25"/>
    </row>
    <row r="52" spans="1:24" s="1" customFormat="1" ht="70.5" customHeight="1">
      <c r="A52" s="22" t="s">
        <v>102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3" t="s">
        <v>25</v>
      </c>
      <c r="M52" s="23"/>
      <c r="N52" s="23" t="s">
        <v>103</v>
      </c>
      <c r="O52" s="23"/>
      <c r="P52" s="24">
        <f>16764.3</f>
        <v>16764.3</v>
      </c>
      <c r="Q52" s="24"/>
      <c r="R52" s="24"/>
      <c r="S52" s="24">
        <f>58225.5</f>
        <v>58225.5</v>
      </c>
      <c r="T52" s="24"/>
      <c r="U52" s="24"/>
      <c r="V52" s="24"/>
      <c r="W52" s="27" t="s">
        <v>41</v>
      </c>
      <c r="X52" s="27"/>
    </row>
    <row r="53" spans="1:24" s="1" customFormat="1" ht="72" customHeight="1">
      <c r="A53" s="22" t="s">
        <v>104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3" t="s">
        <v>25</v>
      </c>
      <c r="M53" s="23"/>
      <c r="N53" s="23" t="s">
        <v>105</v>
      </c>
      <c r="O53" s="23"/>
      <c r="P53" s="24">
        <f>16764.3</f>
        <v>16764.3</v>
      </c>
      <c r="Q53" s="24"/>
      <c r="R53" s="24"/>
      <c r="S53" s="24">
        <f>58225.5</f>
        <v>58225.5</v>
      </c>
      <c r="T53" s="24"/>
      <c r="U53" s="24"/>
      <c r="V53" s="24"/>
      <c r="W53" s="27" t="s">
        <v>41</v>
      </c>
      <c r="X53" s="27"/>
    </row>
    <row r="54" spans="1:24" s="1" customFormat="1" ht="13.5" customHeight="1">
      <c r="A54" s="22" t="s">
        <v>106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 t="s">
        <v>25</v>
      </c>
      <c r="M54" s="23"/>
      <c r="N54" s="23" t="s">
        <v>107</v>
      </c>
      <c r="O54" s="23"/>
      <c r="P54" s="26" t="s">
        <v>41</v>
      </c>
      <c r="Q54" s="26"/>
      <c r="R54" s="26"/>
      <c r="S54" s="24">
        <f>0</f>
        <v>0</v>
      </c>
      <c r="T54" s="24"/>
      <c r="U54" s="24"/>
      <c r="V54" s="24"/>
      <c r="W54" s="27" t="s">
        <v>41</v>
      </c>
      <c r="X54" s="27"/>
    </row>
    <row r="55" spans="1:24" s="1" customFormat="1" ht="52.5" customHeight="1">
      <c r="A55" s="22" t="s">
        <v>108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3" t="s">
        <v>25</v>
      </c>
      <c r="M55" s="23"/>
      <c r="N55" s="23" t="s">
        <v>109</v>
      </c>
      <c r="O55" s="23"/>
      <c r="P55" s="26" t="s">
        <v>41</v>
      </c>
      <c r="Q55" s="26"/>
      <c r="R55" s="26"/>
      <c r="S55" s="24">
        <f>0</f>
        <v>0</v>
      </c>
      <c r="T55" s="24"/>
      <c r="U55" s="24"/>
      <c r="V55" s="24"/>
      <c r="W55" s="27" t="s">
        <v>41</v>
      </c>
      <c r="X55" s="27"/>
    </row>
    <row r="56" spans="1:24" s="1" customFormat="1" ht="60.75" customHeight="1">
      <c r="A56" s="22" t="s">
        <v>110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3" t="s">
        <v>25</v>
      </c>
      <c r="M56" s="23"/>
      <c r="N56" s="23" t="s">
        <v>111</v>
      </c>
      <c r="O56" s="23"/>
      <c r="P56" s="26" t="s">
        <v>41</v>
      </c>
      <c r="Q56" s="26"/>
      <c r="R56" s="26"/>
      <c r="S56" s="24">
        <f>0</f>
        <v>0</v>
      </c>
      <c r="T56" s="24"/>
      <c r="U56" s="24"/>
      <c r="V56" s="24"/>
      <c r="W56" s="27" t="s">
        <v>41</v>
      </c>
      <c r="X56" s="27"/>
    </row>
    <row r="57" spans="1:24" s="1" customFormat="1" ht="54.75" customHeight="1">
      <c r="A57" s="22" t="s">
        <v>112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3" t="s">
        <v>25</v>
      </c>
      <c r="M57" s="23"/>
      <c r="N57" s="23" t="s">
        <v>113</v>
      </c>
      <c r="O57" s="23"/>
      <c r="P57" s="26" t="s">
        <v>41</v>
      </c>
      <c r="Q57" s="26"/>
      <c r="R57" s="26"/>
      <c r="S57" s="24">
        <f>0</f>
        <v>0</v>
      </c>
      <c r="T57" s="24"/>
      <c r="U57" s="24"/>
      <c r="V57" s="24"/>
      <c r="W57" s="27" t="s">
        <v>41</v>
      </c>
      <c r="X57" s="27"/>
    </row>
    <row r="58" spans="1:24" s="1" customFormat="1" ht="13.5" customHeight="1">
      <c r="A58" s="22" t="s">
        <v>114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3" t="s">
        <v>25</v>
      </c>
      <c r="M58" s="23"/>
      <c r="N58" s="23" t="s">
        <v>115</v>
      </c>
      <c r="O58" s="23"/>
      <c r="P58" s="24">
        <f>40000</f>
        <v>40000</v>
      </c>
      <c r="Q58" s="24"/>
      <c r="R58" s="24"/>
      <c r="S58" s="24">
        <f>44576.77</f>
        <v>44576.77</v>
      </c>
      <c r="T58" s="24"/>
      <c r="U58" s="24"/>
      <c r="V58" s="24"/>
      <c r="W58" s="27" t="s">
        <v>41</v>
      </c>
      <c r="X58" s="27"/>
    </row>
    <row r="59" spans="1:24" s="1" customFormat="1" ht="66" customHeight="1">
      <c r="A59" s="22" t="s">
        <v>116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3" t="s">
        <v>25</v>
      </c>
      <c r="M59" s="23"/>
      <c r="N59" s="23" t="s">
        <v>117</v>
      </c>
      <c r="O59" s="23"/>
      <c r="P59" s="26" t="s">
        <v>41</v>
      </c>
      <c r="Q59" s="26"/>
      <c r="R59" s="26"/>
      <c r="S59" s="24">
        <f>19247.36</f>
        <v>19247.36</v>
      </c>
      <c r="T59" s="24"/>
      <c r="U59" s="24"/>
      <c r="V59" s="24"/>
      <c r="W59" s="27" t="s">
        <v>41</v>
      </c>
      <c r="X59" s="27"/>
    </row>
    <row r="60" spans="1:24" s="1" customFormat="1" ht="33.75" customHeight="1">
      <c r="A60" s="22" t="s">
        <v>118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3" t="s">
        <v>25</v>
      </c>
      <c r="M60" s="23"/>
      <c r="N60" s="23" t="s">
        <v>119</v>
      </c>
      <c r="O60" s="23"/>
      <c r="P60" s="26" t="s">
        <v>41</v>
      </c>
      <c r="Q60" s="26"/>
      <c r="R60" s="26"/>
      <c r="S60" s="24">
        <f>19247.36</f>
        <v>19247.36</v>
      </c>
      <c r="T60" s="24"/>
      <c r="U60" s="24"/>
      <c r="V60" s="24"/>
      <c r="W60" s="27" t="s">
        <v>41</v>
      </c>
      <c r="X60" s="27"/>
    </row>
    <row r="61" spans="1:24" s="1" customFormat="1" ht="45" customHeight="1">
      <c r="A61" s="22" t="s">
        <v>120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3" t="s">
        <v>25</v>
      </c>
      <c r="M61" s="23"/>
      <c r="N61" s="23" t="s">
        <v>121</v>
      </c>
      <c r="O61" s="23"/>
      <c r="P61" s="26" t="s">
        <v>41</v>
      </c>
      <c r="Q61" s="26"/>
      <c r="R61" s="26"/>
      <c r="S61" s="24">
        <f>19247.36</f>
        <v>19247.36</v>
      </c>
      <c r="T61" s="24"/>
      <c r="U61" s="24"/>
      <c r="V61" s="24"/>
      <c r="W61" s="27" t="s">
        <v>41</v>
      </c>
      <c r="X61" s="27"/>
    </row>
    <row r="62" spans="1:24" s="1" customFormat="1" ht="71.25" customHeight="1">
      <c r="A62" s="22" t="s">
        <v>122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3" t="s">
        <v>25</v>
      </c>
      <c r="M62" s="23"/>
      <c r="N62" s="23" t="s">
        <v>123</v>
      </c>
      <c r="O62" s="23"/>
      <c r="P62" s="24">
        <f>40000</f>
        <v>40000</v>
      </c>
      <c r="Q62" s="24"/>
      <c r="R62" s="24"/>
      <c r="S62" s="24">
        <f>25329.41</f>
        <v>25329.41</v>
      </c>
      <c r="T62" s="24"/>
      <c r="U62" s="24"/>
      <c r="V62" s="24"/>
      <c r="W62" s="25">
        <f>14670.59</f>
        <v>14670.59</v>
      </c>
      <c r="X62" s="25"/>
    </row>
    <row r="63" spans="1:24" s="1" customFormat="1" ht="13.5" customHeight="1">
      <c r="A63" s="22" t="s">
        <v>124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3" t="s">
        <v>25</v>
      </c>
      <c r="M63" s="23"/>
      <c r="N63" s="23" t="s">
        <v>125</v>
      </c>
      <c r="O63" s="23"/>
      <c r="P63" s="24">
        <f>3967.47</f>
        <v>3967.47</v>
      </c>
      <c r="Q63" s="24"/>
      <c r="R63" s="24"/>
      <c r="S63" s="24">
        <f>87372.88</f>
        <v>87372.88</v>
      </c>
      <c r="T63" s="24"/>
      <c r="U63" s="24"/>
      <c r="V63" s="24"/>
      <c r="W63" s="27" t="s">
        <v>41</v>
      </c>
      <c r="X63" s="27"/>
    </row>
    <row r="64" spans="1:24" s="1" customFormat="1" ht="13.5" customHeight="1">
      <c r="A64" s="22" t="s">
        <v>126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3" t="s">
        <v>25</v>
      </c>
      <c r="M64" s="23"/>
      <c r="N64" s="23" t="s">
        <v>127</v>
      </c>
      <c r="O64" s="23"/>
      <c r="P64" s="26" t="s">
        <v>41</v>
      </c>
      <c r="Q64" s="26"/>
      <c r="R64" s="26"/>
      <c r="S64" s="24">
        <f>-4879.74</f>
        <v>-4879.74</v>
      </c>
      <c r="T64" s="24"/>
      <c r="U64" s="24"/>
      <c r="V64" s="24"/>
      <c r="W64" s="27" t="s">
        <v>41</v>
      </c>
      <c r="X64" s="27"/>
    </row>
    <row r="65" spans="1:24" s="1" customFormat="1" ht="13.5" customHeight="1">
      <c r="A65" s="22" t="s">
        <v>128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3" t="s">
        <v>25</v>
      </c>
      <c r="M65" s="23"/>
      <c r="N65" s="23" t="s">
        <v>129</v>
      </c>
      <c r="O65" s="23"/>
      <c r="P65" s="26" t="s">
        <v>41</v>
      </c>
      <c r="Q65" s="26"/>
      <c r="R65" s="26"/>
      <c r="S65" s="24">
        <f>-4879.74</f>
        <v>-4879.74</v>
      </c>
      <c r="T65" s="24"/>
      <c r="U65" s="24"/>
      <c r="V65" s="24"/>
      <c r="W65" s="27" t="s">
        <v>41</v>
      </c>
      <c r="X65" s="27"/>
    </row>
    <row r="66" spans="1:24" s="1" customFormat="1" ht="13.5" customHeight="1">
      <c r="A66" s="22" t="s">
        <v>130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 t="s">
        <v>25</v>
      </c>
      <c r="M66" s="23"/>
      <c r="N66" s="23" t="s">
        <v>131</v>
      </c>
      <c r="O66" s="23"/>
      <c r="P66" s="24">
        <f>3967.47</f>
        <v>3967.47</v>
      </c>
      <c r="Q66" s="24"/>
      <c r="R66" s="24"/>
      <c r="S66" s="24">
        <f>92252.62</f>
        <v>92252.62</v>
      </c>
      <c r="T66" s="24"/>
      <c r="U66" s="24"/>
      <c r="V66" s="24"/>
      <c r="W66" s="27" t="s">
        <v>41</v>
      </c>
      <c r="X66" s="27"/>
    </row>
    <row r="67" spans="1:24" s="1" customFormat="1" ht="13.5" customHeight="1">
      <c r="A67" s="22" t="s">
        <v>132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3" t="s">
        <v>25</v>
      </c>
      <c r="M67" s="23"/>
      <c r="N67" s="23" t="s">
        <v>133</v>
      </c>
      <c r="O67" s="23"/>
      <c r="P67" s="24">
        <f>3967.47</f>
        <v>3967.47</v>
      </c>
      <c r="Q67" s="24"/>
      <c r="R67" s="24"/>
      <c r="S67" s="24">
        <f>92252.62</f>
        <v>92252.62</v>
      </c>
      <c r="T67" s="24"/>
      <c r="U67" s="24"/>
      <c r="V67" s="24"/>
      <c r="W67" s="27" t="s">
        <v>41</v>
      </c>
      <c r="X67" s="27"/>
    </row>
    <row r="68" spans="1:24" s="1" customFormat="1" ht="13.5" customHeight="1">
      <c r="A68" s="22" t="s">
        <v>134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3" t="s">
        <v>25</v>
      </c>
      <c r="M68" s="23"/>
      <c r="N68" s="23" t="s">
        <v>135</v>
      </c>
      <c r="O68" s="23"/>
      <c r="P68" s="24">
        <f>68344567.9</f>
        <v>68344567.9</v>
      </c>
      <c r="Q68" s="24"/>
      <c r="R68" s="24"/>
      <c r="S68" s="24">
        <f>27143932.39</f>
        <v>27143932.39</v>
      </c>
      <c r="T68" s="24"/>
      <c r="U68" s="24"/>
      <c r="V68" s="24"/>
      <c r="W68" s="25">
        <f>41200635.51</f>
        <v>41200635.51</v>
      </c>
      <c r="X68" s="25"/>
    </row>
    <row r="69" spans="1:24" s="1" customFormat="1" ht="24" customHeight="1">
      <c r="A69" s="22" t="s">
        <v>136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3" t="s">
        <v>25</v>
      </c>
      <c r="M69" s="23"/>
      <c r="N69" s="23" t="s">
        <v>137</v>
      </c>
      <c r="O69" s="23"/>
      <c r="P69" s="24">
        <f>68344567.9</f>
        <v>68344567.9</v>
      </c>
      <c r="Q69" s="24"/>
      <c r="R69" s="24"/>
      <c r="S69" s="24">
        <f>27143932.39</f>
        <v>27143932.39</v>
      </c>
      <c r="T69" s="24"/>
      <c r="U69" s="24"/>
      <c r="V69" s="24"/>
      <c r="W69" s="25">
        <f>41200635.51</f>
        <v>41200635.51</v>
      </c>
      <c r="X69" s="25"/>
    </row>
    <row r="70" spans="1:24" s="1" customFormat="1" ht="13.5" customHeight="1">
      <c r="A70" s="22" t="s">
        <v>138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3" t="s">
        <v>25</v>
      </c>
      <c r="M70" s="23"/>
      <c r="N70" s="23" t="s">
        <v>139</v>
      </c>
      <c r="O70" s="23"/>
      <c r="P70" s="24">
        <f>21481200</f>
        <v>21481200</v>
      </c>
      <c r="Q70" s="24"/>
      <c r="R70" s="24"/>
      <c r="S70" s="24">
        <f>15674398.34</f>
        <v>15674398.34</v>
      </c>
      <c r="T70" s="24"/>
      <c r="U70" s="24"/>
      <c r="V70" s="24"/>
      <c r="W70" s="25">
        <f>5806801.66</f>
        <v>5806801.66</v>
      </c>
      <c r="X70" s="25"/>
    </row>
    <row r="71" spans="1:24" s="1" customFormat="1" ht="24" customHeight="1">
      <c r="A71" s="22" t="s">
        <v>140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3" t="s">
        <v>25</v>
      </c>
      <c r="M71" s="23"/>
      <c r="N71" s="23" t="s">
        <v>141</v>
      </c>
      <c r="O71" s="23"/>
      <c r="P71" s="24">
        <f>21481200</f>
        <v>21481200</v>
      </c>
      <c r="Q71" s="24"/>
      <c r="R71" s="24"/>
      <c r="S71" s="24">
        <f>15674398.34</f>
        <v>15674398.34</v>
      </c>
      <c r="T71" s="24"/>
      <c r="U71" s="24"/>
      <c r="V71" s="24"/>
      <c r="W71" s="25">
        <f>5806801.66</f>
        <v>5806801.66</v>
      </c>
      <c r="X71" s="25"/>
    </row>
    <row r="72" spans="1:24" s="1" customFormat="1" ht="24" customHeight="1">
      <c r="A72" s="22" t="s">
        <v>142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3" t="s">
        <v>25</v>
      </c>
      <c r="M72" s="23"/>
      <c r="N72" s="23" t="s">
        <v>143</v>
      </c>
      <c r="O72" s="23"/>
      <c r="P72" s="24">
        <f>21481200</f>
        <v>21481200</v>
      </c>
      <c r="Q72" s="24"/>
      <c r="R72" s="24"/>
      <c r="S72" s="24">
        <f>15674398.34</f>
        <v>15674398.34</v>
      </c>
      <c r="T72" s="24"/>
      <c r="U72" s="24"/>
      <c r="V72" s="24"/>
      <c r="W72" s="25">
        <f>5806801.66</f>
        <v>5806801.66</v>
      </c>
      <c r="X72" s="25"/>
    </row>
    <row r="73" spans="1:24" s="1" customFormat="1" ht="24" customHeight="1">
      <c r="A73" s="22" t="s">
        <v>144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3" t="s">
        <v>25</v>
      </c>
      <c r="M73" s="23"/>
      <c r="N73" s="23" t="s">
        <v>145</v>
      </c>
      <c r="O73" s="23"/>
      <c r="P73" s="24">
        <f>46009167.9</f>
        <v>46009167.9</v>
      </c>
      <c r="Q73" s="24"/>
      <c r="R73" s="24"/>
      <c r="S73" s="24">
        <f>11086285.8</f>
        <v>11086285.8</v>
      </c>
      <c r="T73" s="24"/>
      <c r="U73" s="24"/>
      <c r="V73" s="24"/>
      <c r="W73" s="25">
        <f>34922882.1</f>
        <v>34922882.1</v>
      </c>
      <c r="X73" s="25"/>
    </row>
    <row r="74" spans="1:24" s="1" customFormat="1" ht="24" customHeight="1">
      <c r="A74" s="22" t="s">
        <v>146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3" t="s">
        <v>25</v>
      </c>
      <c r="M74" s="23"/>
      <c r="N74" s="23" t="s">
        <v>147</v>
      </c>
      <c r="O74" s="23"/>
      <c r="P74" s="24">
        <f>23039800</f>
        <v>23039800</v>
      </c>
      <c r="Q74" s="24"/>
      <c r="R74" s="24"/>
      <c r="S74" s="26" t="s">
        <v>41</v>
      </c>
      <c r="T74" s="26"/>
      <c r="U74" s="26"/>
      <c r="V74" s="26"/>
      <c r="W74" s="25">
        <f>23039800</f>
        <v>23039800</v>
      </c>
      <c r="X74" s="25"/>
    </row>
    <row r="75" spans="1:24" s="1" customFormat="1" ht="24" customHeight="1">
      <c r="A75" s="22" t="s">
        <v>148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 t="s">
        <v>25</v>
      </c>
      <c r="M75" s="23"/>
      <c r="N75" s="23" t="s">
        <v>149</v>
      </c>
      <c r="O75" s="23"/>
      <c r="P75" s="24">
        <f>23039800</f>
        <v>23039800</v>
      </c>
      <c r="Q75" s="24"/>
      <c r="R75" s="24"/>
      <c r="S75" s="26" t="s">
        <v>41</v>
      </c>
      <c r="T75" s="26"/>
      <c r="U75" s="26"/>
      <c r="V75" s="26"/>
      <c r="W75" s="25">
        <f>23039800</f>
        <v>23039800</v>
      </c>
      <c r="X75" s="25"/>
    </row>
    <row r="76" spans="1:24" s="1" customFormat="1" ht="24" customHeight="1">
      <c r="A76" s="22" t="s">
        <v>150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 t="s">
        <v>25</v>
      </c>
      <c r="M76" s="23"/>
      <c r="N76" s="23" t="s">
        <v>151</v>
      </c>
      <c r="O76" s="23"/>
      <c r="P76" s="24">
        <f>3979800</f>
        <v>3979800</v>
      </c>
      <c r="Q76" s="24"/>
      <c r="R76" s="24"/>
      <c r="S76" s="24">
        <f>3979800</f>
        <v>3979800</v>
      </c>
      <c r="T76" s="24"/>
      <c r="U76" s="24"/>
      <c r="V76" s="24"/>
      <c r="W76" s="25">
        <f>0</f>
        <v>0</v>
      </c>
      <c r="X76" s="25"/>
    </row>
    <row r="77" spans="1:24" s="1" customFormat="1" ht="24" customHeight="1">
      <c r="A77" s="22" t="s">
        <v>152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3" t="s">
        <v>25</v>
      </c>
      <c r="M77" s="23"/>
      <c r="N77" s="23" t="s">
        <v>153</v>
      </c>
      <c r="O77" s="23"/>
      <c r="P77" s="24">
        <f>3979800</f>
        <v>3979800</v>
      </c>
      <c r="Q77" s="24"/>
      <c r="R77" s="24"/>
      <c r="S77" s="24">
        <f>3979800</f>
        <v>3979800</v>
      </c>
      <c r="T77" s="24"/>
      <c r="U77" s="24"/>
      <c r="V77" s="24"/>
      <c r="W77" s="25">
        <f>0</f>
        <v>0</v>
      </c>
      <c r="X77" s="25"/>
    </row>
    <row r="78" spans="1:24" s="1" customFormat="1" ht="13.5" customHeight="1">
      <c r="A78" s="22" t="s">
        <v>154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 t="s">
        <v>25</v>
      </c>
      <c r="M78" s="23"/>
      <c r="N78" s="23" t="s">
        <v>155</v>
      </c>
      <c r="O78" s="23"/>
      <c r="P78" s="24">
        <f>18989567.9</f>
        <v>18989567.9</v>
      </c>
      <c r="Q78" s="24"/>
      <c r="R78" s="24"/>
      <c r="S78" s="24">
        <f>7106485.8</f>
        <v>7106485.8</v>
      </c>
      <c r="T78" s="24"/>
      <c r="U78" s="24"/>
      <c r="V78" s="24"/>
      <c r="W78" s="25">
        <f>11883082.1</f>
        <v>11883082.1</v>
      </c>
      <c r="X78" s="25"/>
    </row>
    <row r="79" spans="1:24" s="1" customFormat="1" ht="13.5" customHeight="1">
      <c r="A79" s="22" t="s">
        <v>156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 t="s">
        <v>25</v>
      </c>
      <c r="M79" s="23"/>
      <c r="N79" s="23" t="s">
        <v>157</v>
      </c>
      <c r="O79" s="23"/>
      <c r="P79" s="24">
        <f>18989567.9</f>
        <v>18989567.9</v>
      </c>
      <c r="Q79" s="24"/>
      <c r="R79" s="24"/>
      <c r="S79" s="24">
        <f>7106485.8</f>
        <v>7106485.8</v>
      </c>
      <c r="T79" s="24"/>
      <c r="U79" s="24"/>
      <c r="V79" s="24"/>
      <c r="W79" s="25">
        <f>11883082.1</f>
        <v>11883082.1</v>
      </c>
      <c r="X79" s="25"/>
    </row>
    <row r="80" spans="1:24" s="1" customFormat="1" ht="13.5" customHeight="1">
      <c r="A80" s="22" t="s">
        <v>158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3" t="s">
        <v>25</v>
      </c>
      <c r="M80" s="23"/>
      <c r="N80" s="23" t="s">
        <v>159</v>
      </c>
      <c r="O80" s="23"/>
      <c r="P80" s="24">
        <f>554200</f>
        <v>554200</v>
      </c>
      <c r="Q80" s="24"/>
      <c r="R80" s="24"/>
      <c r="S80" s="24">
        <f>383248.25</f>
        <v>383248.25</v>
      </c>
      <c r="T80" s="24"/>
      <c r="U80" s="24"/>
      <c r="V80" s="24"/>
      <c r="W80" s="25">
        <f>170951.75</f>
        <v>170951.75</v>
      </c>
      <c r="X80" s="25"/>
    </row>
    <row r="81" spans="1:24" s="1" customFormat="1" ht="24" customHeight="1">
      <c r="A81" s="22" t="s">
        <v>160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 t="s">
        <v>25</v>
      </c>
      <c r="M81" s="23"/>
      <c r="N81" s="23" t="s">
        <v>161</v>
      </c>
      <c r="O81" s="23"/>
      <c r="P81" s="24">
        <f>120000</f>
        <v>120000</v>
      </c>
      <c r="Q81" s="24"/>
      <c r="R81" s="24"/>
      <c r="S81" s="24">
        <f>70485.7</f>
        <v>70485.7</v>
      </c>
      <c r="T81" s="24"/>
      <c r="U81" s="24"/>
      <c r="V81" s="24"/>
      <c r="W81" s="25">
        <f>49514.3</f>
        <v>49514.3</v>
      </c>
      <c r="X81" s="25"/>
    </row>
    <row r="82" spans="1:24" s="1" customFormat="1" ht="24" customHeight="1">
      <c r="A82" s="22" t="s">
        <v>162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 t="s">
        <v>25</v>
      </c>
      <c r="M82" s="23"/>
      <c r="N82" s="23" t="s">
        <v>163</v>
      </c>
      <c r="O82" s="23"/>
      <c r="P82" s="24">
        <f>120000</f>
        <v>120000</v>
      </c>
      <c r="Q82" s="24"/>
      <c r="R82" s="24"/>
      <c r="S82" s="24">
        <f>70485.7</f>
        <v>70485.7</v>
      </c>
      <c r="T82" s="24"/>
      <c r="U82" s="24"/>
      <c r="V82" s="24"/>
      <c r="W82" s="25">
        <f>49514.3</f>
        <v>49514.3</v>
      </c>
      <c r="X82" s="25"/>
    </row>
    <row r="83" spans="1:24" s="1" customFormat="1" ht="24" customHeight="1">
      <c r="A83" s="22" t="s">
        <v>164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 t="s">
        <v>25</v>
      </c>
      <c r="M83" s="23"/>
      <c r="N83" s="23" t="s">
        <v>165</v>
      </c>
      <c r="O83" s="23"/>
      <c r="P83" s="24">
        <f>434200</f>
        <v>434200</v>
      </c>
      <c r="Q83" s="24"/>
      <c r="R83" s="24"/>
      <c r="S83" s="24">
        <f>312762.55</f>
        <v>312762.55</v>
      </c>
      <c r="T83" s="24"/>
      <c r="U83" s="24"/>
      <c r="V83" s="24"/>
      <c r="W83" s="25">
        <f>121437.45</f>
        <v>121437.45</v>
      </c>
      <c r="X83" s="25"/>
    </row>
    <row r="84" spans="1:24" s="1" customFormat="1" ht="33.75" customHeight="1">
      <c r="A84" s="22" t="s">
        <v>166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3" t="s">
        <v>25</v>
      </c>
      <c r="M84" s="23"/>
      <c r="N84" s="23" t="s">
        <v>167</v>
      </c>
      <c r="O84" s="23"/>
      <c r="P84" s="24">
        <f>434200</f>
        <v>434200</v>
      </c>
      <c r="Q84" s="24"/>
      <c r="R84" s="24"/>
      <c r="S84" s="24">
        <f>312762.55</f>
        <v>312762.55</v>
      </c>
      <c r="T84" s="24"/>
      <c r="U84" s="24"/>
      <c r="V84" s="24"/>
      <c r="W84" s="25">
        <f>121437.45</f>
        <v>121437.45</v>
      </c>
      <c r="X84" s="25"/>
    </row>
    <row r="85" spans="1:24" s="1" customFormat="1" ht="13.5" customHeight="1">
      <c r="A85" s="22" t="s">
        <v>168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3" t="s">
        <v>25</v>
      </c>
      <c r="M85" s="23"/>
      <c r="N85" s="23" t="s">
        <v>169</v>
      </c>
      <c r="O85" s="23"/>
      <c r="P85" s="24">
        <f>300000</f>
        <v>300000</v>
      </c>
      <c r="Q85" s="24"/>
      <c r="R85" s="24"/>
      <c r="S85" s="26" t="s">
        <v>41</v>
      </c>
      <c r="T85" s="26"/>
      <c r="U85" s="26"/>
      <c r="V85" s="26"/>
      <c r="W85" s="25">
        <f>300000</f>
        <v>300000</v>
      </c>
      <c r="X85" s="25"/>
    </row>
    <row r="86" spans="1:24" s="1" customFormat="1" ht="13.5" customHeight="1">
      <c r="A86" s="22" t="s">
        <v>170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3" t="s">
        <v>25</v>
      </c>
      <c r="M86" s="23"/>
      <c r="N86" s="23" t="s">
        <v>171</v>
      </c>
      <c r="O86" s="23"/>
      <c r="P86" s="24">
        <f>300000</f>
        <v>300000</v>
      </c>
      <c r="Q86" s="24"/>
      <c r="R86" s="24"/>
      <c r="S86" s="26" t="s">
        <v>41</v>
      </c>
      <c r="T86" s="26"/>
      <c r="U86" s="26"/>
      <c r="V86" s="26"/>
      <c r="W86" s="25">
        <f>300000</f>
        <v>300000</v>
      </c>
      <c r="X86" s="25"/>
    </row>
    <row r="87" spans="1:24" s="1" customFormat="1" ht="24" customHeight="1">
      <c r="A87" s="22" t="s">
        <v>172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3" t="s">
        <v>25</v>
      </c>
      <c r="M87" s="23"/>
      <c r="N87" s="23" t="s">
        <v>173</v>
      </c>
      <c r="O87" s="23"/>
      <c r="P87" s="24">
        <f>300000</f>
        <v>300000</v>
      </c>
      <c r="Q87" s="24"/>
      <c r="R87" s="24"/>
      <c r="S87" s="26" t="s">
        <v>41</v>
      </c>
      <c r="T87" s="26"/>
      <c r="U87" s="26"/>
      <c r="V87" s="26"/>
      <c r="W87" s="25">
        <f>300000</f>
        <v>300000</v>
      </c>
      <c r="X87" s="25"/>
    </row>
    <row r="88" spans="1:24" s="1" customFormat="1" ht="61.5" customHeight="1">
      <c r="A88" s="22" t="s">
        <v>174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3" t="s">
        <v>25</v>
      </c>
      <c r="M88" s="23"/>
      <c r="N88" s="23" t="s">
        <v>175</v>
      </c>
      <c r="O88" s="23"/>
      <c r="P88" s="26" t="s">
        <v>41</v>
      </c>
      <c r="Q88" s="26"/>
      <c r="R88" s="26"/>
      <c r="S88" s="24">
        <f>0</f>
        <v>0</v>
      </c>
      <c r="T88" s="24"/>
      <c r="U88" s="24"/>
      <c r="V88" s="24"/>
      <c r="W88" s="27" t="s">
        <v>41</v>
      </c>
      <c r="X88" s="27"/>
    </row>
    <row r="89" spans="1:24" s="1" customFormat="1" ht="61.5" customHeight="1" thickBot="1">
      <c r="A89" s="28" t="s">
        <v>176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9" t="s">
        <v>25</v>
      </c>
      <c r="M89" s="29"/>
      <c r="N89" s="29" t="s">
        <v>177</v>
      </c>
      <c r="O89" s="29"/>
      <c r="P89" s="30" t="s">
        <v>41</v>
      </c>
      <c r="Q89" s="30"/>
      <c r="R89" s="30"/>
      <c r="S89" s="31">
        <f>0</f>
        <v>0</v>
      </c>
      <c r="T89" s="31"/>
      <c r="U89" s="31"/>
      <c r="V89" s="31"/>
      <c r="W89" s="32" t="s">
        <v>41</v>
      </c>
      <c r="X89" s="32"/>
    </row>
    <row r="90" spans="1:24" s="1" customFormat="1" ht="13.5" customHeight="1" thickBot="1">
      <c r="A90" s="33" t="s">
        <v>178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</row>
    <row r="91" spans="1:24" s="1" customFormat="1" ht="13.5" customHeight="1" thickBot="1">
      <c r="A91" s="36" t="s">
        <v>179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7" t="s">
        <v>180</v>
      </c>
      <c r="M91" s="37"/>
      <c r="N91" s="37" t="s">
        <v>26</v>
      </c>
      <c r="O91" s="37"/>
      <c r="P91" s="38">
        <f>89898304.98</f>
        <v>89898304.98</v>
      </c>
      <c r="Q91" s="38"/>
      <c r="R91" s="38"/>
      <c r="S91" s="38">
        <f>40266922.44</f>
        <v>40266922.44</v>
      </c>
      <c r="T91" s="38"/>
      <c r="U91" s="38"/>
      <c r="V91" s="38"/>
      <c r="W91" s="39">
        <f>49631382.54</f>
        <v>49631382.54</v>
      </c>
      <c r="X91" s="39"/>
    </row>
    <row r="92" spans="1:24" s="1" customFormat="1" ht="24" customHeight="1">
      <c r="A92" s="40" t="s">
        <v>181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1" t="s">
        <v>180</v>
      </c>
      <c r="M92" s="41"/>
      <c r="N92" s="41" t="s">
        <v>182</v>
      </c>
      <c r="O92" s="41"/>
      <c r="P92" s="42">
        <f>1851000</f>
        <v>1851000</v>
      </c>
      <c r="Q92" s="42"/>
      <c r="R92" s="42"/>
      <c r="S92" s="42">
        <f>1656102.23</f>
        <v>1656102.23</v>
      </c>
      <c r="T92" s="42"/>
      <c r="U92" s="42"/>
      <c r="V92" s="42"/>
      <c r="W92" s="43">
        <f>194897.77</f>
        <v>194897.77</v>
      </c>
      <c r="X92" s="43"/>
    </row>
    <row r="93" spans="1:24" s="1" customFormat="1" ht="33.75" customHeight="1">
      <c r="A93" s="40" t="s">
        <v>183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1" t="s">
        <v>180</v>
      </c>
      <c r="M93" s="41"/>
      <c r="N93" s="41" t="s">
        <v>184</v>
      </c>
      <c r="O93" s="41"/>
      <c r="P93" s="42">
        <f>1851000</f>
        <v>1851000</v>
      </c>
      <c r="Q93" s="42"/>
      <c r="R93" s="42"/>
      <c r="S93" s="42">
        <f>1656102.23</f>
        <v>1656102.23</v>
      </c>
      <c r="T93" s="42"/>
      <c r="U93" s="42"/>
      <c r="V93" s="42"/>
      <c r="W93" s="43">
        <f>194897.77</f>
        <v>194897.77</v>
      </c>
      <c r="X93" s="43"/>
    </row>
    <row r="94" spans="1:24" s="1" customFormat="1" ht="24" customHeight="1">
      <c r="A94" s="40" t="s">
        <v>185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1" t="s">
        <v>180</v>
      </c>
      <c r="M94" s="41"/>
      <c r="N94" s="41" t="s">
        <v>186</v>
      </c>
      <c r="O94" s="41"/>
      <c r="P94" s="42">
        <f>1421585.91</f>
        <v>1421585.91</v>
      </c>
      <c r="Q94" s="42"/>
      <c r="R94" s="42"/>
      <c r="S94" s="42">
        <f>1291626.17</f>
        <v>1291626.17</v>
      </c>
      <c r="T94" s="42"/>
      <c r="U94" s="42"/>
      <c r="V94" s="42"/>
      <c r="W94" s="43">
        <f>129959.74</f>
        <v>129959.74</v>
      </c>
      <c r="X94" s="43"/>
    </row>
    <row r="95" spans="1:24" s="1" customFormat="1" ht="33.75" customHeight="1">
      <c r="A95" s="40" t="s">
        <v>187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1" t="s">
        <v>180</v>
      </c>
      <c r="M95" s="41"/>
      <c r="N95" s="41" t="s">
        <v>188</v>
      </c>
      <c r="O95" s="41"/>
      <c r="P95" s="42">
        <f>429414.09</f>
        <v>429414.09</v>
      </c>
      <c r="Q95" s="42"/>
      <c r="R95" s="42"/>
      <c r="S95" s="42">
        <f>364476.06</f>
        <v>364476.06</v>
      </c>
      <c r="T95" s="42"/>
      <c r="U95" s="42"/>
      <c r="V95" s="42"/>
      <c r="W95" s="43">
        <f>64938.03</f>
        <v>64938.03</v>
      </c>
      <c r="X95" s="43"/>
    </row>
    <row r="96" spans="1:24" s="1" customFormat="1" ht="33.75" customHeight="1">
      <c r="A96" s="40" t="s">
        <v>189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1" t="s">
        <v>180</v>
      </c>
      <c r="M96" s="41"/>
      <c r="N96" s="41" t="s">
        <v>190</v>
      </c>
      <c r="O96" s="41"/>
      <c r="P96" s="42">
        <f>36000</f>
        <v>36000</v>
      </c>
      <c r="Q96" s="42"/>
      <c r="R96" s="42"/>
      <c r="S96" s="42">
        <f>5700</f>
        <v>5700</v>
      </c>
      <c r="T96" s="42"/>
      <c r="U96" s="42"/>
      <c r="V96" s="42"/>
      <c r="W96" s="43">
        <f>30300</f>
        <v>30300</v>
      </c>
      <c r="X96" s="43"/>
    </row>
    <row r="97" spans="1:24" s="1" customFormat="1" ht="33.75" customHeight="1">
      <c r="A97" s="40" t="s">
        <v>183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1" t="s">
        <v>180</v>
      </c>
      <c r="M97" s="41"/>
      <c r="N97" s="41" t="s">
        <v>191</v>
      </c>
      <c r="O97" s="41"/>
      <c r="P97" s="42">
        <f>36000</f>
        <v>36000</v>
      </c>
      <c r="Q97" s="42"/>
      <c r="R97" s="42"/>
      <c r="S97" s="42">
        <f>5700</f>
        <v>5700</v>
      </c>
      <c r="T97" s="42"/>
      <c r="U97" s="42"/>
      <c r="V97" s="42"/>
      <c r="W97" s="43">
        <f>30300</f>
        <v>30300</v>
      </c>
      <c r="X97" s="43"/>
    </row>
    <row r="98" spans="1:24" s="1" customFormat="1" ht="13.5" customHeight="1">
      <c r="A98" s="40" t="s">
        <v>192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1" t="s">
        <v>180</v>
      </c>
      <c r="M98" s="41"/>
      <c r="N98" s="41" t="s">
        <v>193</v>
      </c>
      <c r="O98" s="41"/>
      <c r="P98" s="42">
        <f>36000</f>
        <v>36000</v>
      </c>
      <c r="Q98" s="42"/>
      <c r="R98" s="42"/>
      <c r="S98" s="42">
        <f>5700</f>
        <v>5700</v>
      </c>
      <c r="T98" s="42"/>
      <c r="U98" s="42"/>
      <c r="V98" s="42"/>
      <c r="W98" s="43">
        <f>30300</f>
        <v>30300</v>
      </c>
      <c r="X98" s="43"/>
    </row>
    <row r="99" spans="1:24" s="1" customFormat="1" ht="33.75" customHeight="1">
      <c r="A99" s="40" t="s">
        <v>194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1" t="s">
        <v>180</v>
      </c>
      <c r="M99" s="41"/>
      <c r="N99" s="41" t="s">
        <v>195</v>
      </c>
      <c r="O99" s="41"/>
      <c r="P99" s="42">
        <f>16755000</f>
        <v>16755000</v>
      </c>
      <c r="Q99" s="42"/>
      <c r="R99" s="42"/>
      <c r="S99" s="42">
        <f>13723872.24</f>
        <v>13723872.24</v>
      </c>
      <c r="T99" s="42"/>
      <c r="U99" s="42"/>
      <c r="V99" s="42"/>
      <c r="W99" s="43">
        <f>3031127.76</f>
        <v>3031127.76</v>
      </c>
      <c r="X99" s="43"/>
    </row>
    <row r="100" spans="1:24" s="1" customFormat="1" ht="33.75" customHeight="1">
      <c r="A100" s="40" t="s">
        <v>183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1" t="s">
        <v>180</v>
      </c>
      <c r="M100" s="41"/>
      <c r="N100" s="41" t="s">
        <v>196</v>
      </c>
      <c r="O100" s="41"/>
      <c r="P100" s="42">
        <f>13950000</f>
        <v>13950000</v>
      </c>
      <c r="Q100" s="42"/>
      <c r="R100" s="42"/>
      <c r="S100" s="42">
        <f>12407273.78</f>
        <v>12407273.78</v>
      </c>
      <c r="T100" s="42"/>
      <c r="U100" s="42"/>
      <c r="V100" s="42"/>
      <c r="W100" s="43">
        <f>1542726.22</f>
        <v>1542726.22</v>
      </c>
      <c r="X100" s="43"/>
    </row>
    <row r="101" spans="1:24" s="1" customFormat="1" ht="24" customHeight="1">
      <c r="A101" s="40" t="s">
        <v>185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 t="s">
        <v>180</v>
      </c>
      <c r="M101" s="41"/>
      <c r="N101" s="41" t="s">
        <v>197</v>
      </c>
      <c r="O101" s="41"/>
      <c r="P101" s="42">
        <f>10714285.56</f>
        <v>10714285.56</v>
      </c>
      <c r="Q101" s="42"/>
      <c r="R101" s="42"/>
      <c r="S101" s="42">
        <f>9649244.82</f>
        <v>9649244.82</v>
      </c>
      <c r="T101" s="42"/>
      <c r="U101" s="42"/>
      <c r="V101" s="42"/>
      <c r="W101" s="43">
        <f>1065040.74</f>
        <v>1065040.74</v>
      </c>
      <c r="X101" s="43"/>
    </row>
    <row r="102" spans="1:24" s="1" customFormat="1" ht="33.75" customHeight="1">
      <c r="A102" s="40" t="s">
        <v>187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1" t="s">
        <v>180</v>
      </c>
      <c r="M102" s="41"/>
      <c r="N102" s="41" t="s">
        <v>198</v>
      </c>
      <c r="O102" s="41"/>
      <c r="P102" s="42">
        <f>3235714.44</f>
        <v>3235714.44</v>
      </c>
      <c r="Q102" s="42"/>
      <c r="R102" s="42"/>
      <c r="S102" s="42">
        <f>2758028.96</f>
        <v>2758028.96</v>
      </c>
      <c r="T102" s="42"/>
      <c r="U102" s="42"/>
      <c r="V102" s="42"/>
      <c r="W102" s="43">
        <f>477685.48</f>
        <v>477685.48</v>
      </c>
      <c r="X102" s="43"/>
    </row>
    <row r="103" spans="1:24" s="1" customFormat="1" ht="24" customHeight="1">
      <c r="A103" s="40" t="s">
        <v>199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1" t="s">
        <v>180</v>
      </c>
      <c r="M103" s="41"/>
      <c r="N103" s="41" t="s">
        <v>200</v>
      </c>
      <c r="O103" s="41"/>
      <c r="P103" s="42">
        <f>2782700</f>
        <v>2782700</v>
      </c>
      <c r="Q103" s="42"/>
      <c r="R103" s="42"/>
      <c r="S103" s="42">
        <f>1314900.01</f>
        <v>1314900.01</v>
      </c>
      <c r="T103" s="42"/>
      <c r="U103" s="42"/>
      <c r="V103" s="42"/>
      <c r="W103" s="43">
        <f>1467799.99</f>
        <v>1467799.99</v>
      </c>
      <c r="X103" s="43"/>
    </row>
    <row r="104" spans="1:24" s="1" customFormat="1" ht="24" customHeight="1">
      <c r="A104" s="40" t="s">
        <v>201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 t="s">
        <v>180</v>
      </c>
      <c r="M104" s="41"/>
      <c r="N104" s="41" t="s">
        <v>202</v>
      </c>
      <c r="O104" s="41"/>
      <c r="P104" s="42">
        <f>705000</f>
        <v>705000</v>
      </c>
      <c r="Q104" s="42"/>
      <c r="R104" s="42"/>
      <c r="S104" s="42">
        <f>436183.68</f>
        <v>436183.68</v>
      </c>
      <c r="T104" s="42"/>
      <c r="U104" s="42"/>
      <c r="V104" s="42"/>
      <c r="W104" s="43">
        <f>268816.32</f>
        <v>268816.32</v>
      </c>
      <c r="X104" s="43"/>
    </row>
    <row r="105" spans="1:24" s="1" customFormat="1" ht="13.5" customHeight="1">
      <c r="A105" s="40" t="s">
        <v>203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1" t="s">
        <v>180</v>
      </c>
      <c r="M105" s="41"/>
      <c r="N105" s="41" t="s">
        <v>204</v>
      </c>
      <c r="O105" s="41"/>
      <c r="P105" s="42">
        <f>1787700</f>
        <v>1787700</v>
      </c>
      <c r="Q105" s="42"/>
      <c r="R105" s="42"/>
      <c r="S105" s="42">
        <f>647294.18</f>
        <v>647294.18</v>
      </c>
      <c r="T105" s="42"/>
      <c r="U105" s="42"/>
      <c r="V105" s="42"/>
      <c r="W105" s="43">
        <f>1140405.82</f>
        <v>1140405.82</v>
      </c>
      <c r="X105" s="43"/>
    </row>
    <row r="106" spans="1:24" s="1" customFormat="1" ht="13.5" customHeight="1">
      <c r="A106" s="40" t="s">
        <v>205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 t="s">
        <v>180</v>
      </c>
      <c r="M106" s="41"/>
      <c r="N106" s="41" t="s">
        <v>206</v>
      </c>
      <c r="O106" s="41"/>
      <c r="P106" s="42">
        <f>290000</f>
        <v>290000</v>
      </c>
      <c r="Q106" s="42"/>
      <c r="R106" s="42"/>
      <c r="S106" s="42">
        <f>231422.15</f>
        <v>231422.15</v>
      </c>
      <c r="T106" s="42"/>
      <c r="U106" s="42"/>
      <c r="V106" s="42"/>
      <c r="W106" s="43">
        <f>58577.85</f>
        <v>58577.85</v>
      </c>
      <c r="X106" s="43"/>
    </row>
    <row r="107" spans="1:24" s="1" customFormat="1" ht="13.5" customHeight="1">
      <c r="A107" s="40" t="s">
        <v>207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1" t="s">
        <v>180</v>
      </c>
      <c r="M107" s="41"/>
      <c r="N107" s="41" t="s">
        <v>208</v>
      </c>
      <c r="O107" s="41"/>
      <c r="P107" s="42">
        <f>22300</f>
        <v>22300</v>
      </c>
      <c r="Q107" s="42"/>
      <c r="R107" s="42"/>
      <c r="S107" s="42">
        <f>1698.45</f>
        <v>1698.45</v>
      </c>
      <c r="T107" s="42"/>
      <c r="U107" s="42"/>
      <c r="V107" s="42"/>
      <c r="W107" s="43">
        <f>20601.55</f>
        <v>20601.55</v>
      </c>
      <c r="X107" s="43"/>
    </row>
    <row r="108" spans="1:24" s="1" customFormat="1" ht="13.5" customHeight="1">
      <c r="A108" s="40" t="s">
        <v>209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1" t="s">
        <v>180</v>
      </c>
      <c r="M108" s="41"/>
      <c r="N108" s="41" t="s">
        <v>210</v>
      </c>
      <c r="O108" s="41"/>
      <c r="P108" s="42">
        <f>17400</f>
        <v>17400</v>
      </c>
      <c r="Q108" s="42"/>
      <c r="R108" s="42"/>
      <c r="S108" s="42">
        <f>645.76</f>
        <v>645.76</v>
      </c>
      <c r="T108" s="42"/>
      <c r="U108" s="42"/>
      <c r="V108" s="42"/>
      <c r="W108" s="43">
        <f>16754.24</f>
        <v>16754.24</v>
      </c>
      <c r="X108" s="43"/>
    </row>
    <row r="109" spans="1:24" s="1" customFormat="1" ht="13.5" customHeight="1">
      <c r="A109" s="40" t="s">
        <v>211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1" t="s">
        <v>180</v>
      </c>
      <c r="M109" s="41"/>
      <c r="N109" s="41" t="s">
        <v>212</v>
      </c>
      <c r="O109" s="41"/>
      <c r="P109" s="42">
        <f>4900</f>
        <v>4900</v>
      </c>
      <c r="Q109" s="42"/>
      <c r="R109" s="42"/>
      <c r="S109" s="42">
        <f>1052.69</f>
        <v>1052.69</v>
      </c>
      <c r="T109" s="42"/>
      <c r="U109" s="42"/>
      <c r="V109" s="42"/>
      <c r="W109" s="43">
        <f>3847.31</f>
        <v>3847.31</v>
      </c>
      <c r="X109" s="43"/>
    </row>
    <row r="110" spans="1:24" s="1" customFormat="1" ht="13.5" customHeight="1">
      <c r="A110" s="40" t="s">
        <v>213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1" t="s">
        <v>180</v>
      </c>
      <c r="M110" s="41"/>
      <c r="N110" s="41" t="s">
        <v>214</v>
      </c>
      <c r="O110" s="41"/>
      <c r="P110" s="42">
        <f>60000</f>
        <v>60000</v>
      </c>
      <c r="Q110" s="42"/>
      <c r="R110" s="42"/>
      <c r="S110" s="44" t="s">
        <v>41</v>
      </c>
      <c r="T110" s="44"/>
      <c r="U110" s="44"/>
      <c r="V110" s="44"/>
      <c r="W110" s="43">
        <f>60000</f>
        <v>60000</v>
      </c>
      <c r="X110" s="43"/>
    </row>
    <row r="111" spans="1:24" s="1" customFormat="1" ht="13.5" customHeight="1">
      <c r="A111" s="40" t="s">
        <v>207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1" t="s">
        <v>180</v>
      </c>
      <c r="M111" s="41"/>
      <c r="N111" s="41" t="s">
        <v>215</v>
      </c>
      <c r="O111" s="41"/>
      <c r="P111" s="42">
        <f>60000</f>
        <v>60000</v>
      </c>
      <c r="Q111" s="42"/>
      <c r="R111" s="42"/>
      <c r="S111" s="44" t="s">
        <v>41</v>
      </c>
      <c r="T111" s="44"/>
      <c r="U111" s="44"/>
      <c r="V111" s="44"/>
      <c r="W111" s="43">
        <f>60000</f>
        <v>60000</v>
      </c>
      <c r="X111" s="43"/>
    </row>
    <row r="112" spans="1:24" s="1" customFormat="1" ht="13.5" customHeight="1">
      <c r="A112" s="40" t="s">
        <v>216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1" t="s">
        <v>180</v>
      </c>
      <c r="M112" s="41"/>
      <c r="N112" s="41" t="s">
        <v>217</v>
      </c>
      <c r="O112" s="41"/>
      <c r="P112" s="42">
        <f>60000</f>
        <v>60000</v>
      </c>
      <c r="Q112" s="42"/>
      <c r="R112" s="42"/>
      <c r="S112" s="44" t="s">
        <v>41</v>
      </c>
      <c r="T112" s="44"/>
      <c r="U112" s="44"/>
      <c r="V112" s="44"/>
      <c r="W112" s="43">
        <f>60000</f>
        <v>60000</v>
      </c>
      <c r="X112" s="43"/>
    </row>
    <row r="113" spans="1:24" s="1" customFormat="1" ht="13.5" customHeight="1">
      <c r="A113" s="40" t="s">
        <v>218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1" t="s">
        <v>180</v>
      </c>
      <c r="M113" s="41"/>
      <c r="N113" s="41" t="s">
        <v>219</v>
      </c>
      <c r="O113" s="41"/>
      <c r="P113" s="42">
        <f>625108.67</f>
        <v>625108.67</v>
      </c>
      <c r="Q113" s="42"/>
      <c r="R113" s="42"/>
      <c r="S113" s="42">
        <f>272980</f>
        <v>272980</v>
      </c>
      <c r="T113" s="42"/>
      <c r="U113" s="42"/>
      <c r="V113" s="42"/>
      <c r="W113" s="43">
        <f>352128.67</f>
        <v>352128.67</v>
      </c>
      <c r="X113" s="43"/>
    </row>
    <row r="114" spans="1:24" s="1" customFormat="1" ht="24" customHeight="1">
      <c r="A114" s="40" t="s">
        <v>199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1" t="s">
        <v>180</v>
      </c>
      <c r="M114" s="41"/>
      <c r="N114" s="41" t="s">
        <v>220</v>
      </c>
      <c r="O114" s="41"/>
      <c r="P114" s="42">
        <f>301108.67</f>
        <v>301108.67</v>
      </c>
      <c r="Q114" s="42"/>
      <c r="R114" s="42"/>
      <c r="S114" s="42">
        <f>39000</f>
        <v>39000</v>
      </c>
      <c r="T114" s="42"/>
      <c r="U114" s="42"/>
      <c r="V114" s="42"/>
      <c r="W114" s="43">
        <f>262108.67</f>
        <v>262108.67</v>
      </c>
      <c r="X114" s="43"/>
    </row>
    <row r="115" spans="1:24" s="1" customFormat="1" ht="13.5" customHeight="1">
      <c r="A115" s="40" t="s">
        <v>203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1" t="s">
        <v>180</v>
      </c>
      <c r="M115" s="41"/>
      <c r="N115" s="41" t="s">
        <v>221</v>
      </c>
      <c r="O115" s="41"/>
      <c r="P115" s="42">
        <f>700</f>
        <v>700</v>
      </c>
      <c r="Q115" s="42"/>
      <c r="R115" s="42"/>
      <c r="S115" s="44" t="s">
        <v>41</v>
      </c>
      <c r="T115" s="44"/>
      <c r="U115" s="44"/>
      <c r="V115" s="44"/>
      <c r="W115" s="43">
        <f>700</f>
        <v>700</v>
      </c>
      <c r="X115" s="43"/>
    </row>
    <row r="116" spans="1:24" s="1" customFormat="1" ht="13.5" customHeight="1">
      <c r="A116" s="40" t="s">
        <v>203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1" t="s">
        <v>180</v>
      </c>
      <c r="M116" s="41"/>
      <c r="N116" s="41" t="s">
        <v>222</v>
      </c>
      <c r="O116" s="41"/>
      <c r="P116" s="42">
        <f>45000</f>
        <v>45000</v>
      </c>
      <c r="Q116" s="42"/>
      <c r="R116" s="42"/>
      <c r="S116" s="42">
        <f>30000</f>
        <v>30000</v>
      </c>
      <c r="T116" s="42"/>
      <c r="U116" s="42"/>
      <c r="V116" s="42"/>
      <c r="W116" s="43">
        <f>15000</f>
        <v>15000</v>
      </c>
      <c r="X116" s="43"/>
    </row>
    <row r="117" spans="1:24" s="1" customFormat="1" ht="13.5" customHeight="1">
      <c r="A117" s="40" t="s">
        <v>203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1" t="s">
        <v>180</v>
      </c>
      <c r="M117" s="41"/>
      <c r="N117" s="41" t="s">
        <v>223</v>
      </c>
      <c r="O117" s="41"/>
      <c r="P117" s="42">
        <f>10000</f>
        <v>10000</v>
      </c>
      <c r="Q117" s="42"/>
      <c r="R117" s="42"/>
      <c r="S117" s="42">
        <f>9000</f>
        <v>9000</v>
      </c>
      <c r="T117" s="42"/>
      <c r="U117" s="42"/>
      <c r="V117" s="42"/>
      <c r="W117" s="43">
        <f>1000</f>
        <v>1000</v>
      </c>
      <c r="X117" s="43"/>
    </row>
    <row r="118" spans="1:24" s="1" customFormat="1" ht="13.5" customHeight="1">
      <c r="A118" s="40" t="s">
        <v>203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1" t="s">
        <v>180</v>
      </c>
      <c r="M118" s="41"/>
      <c r="N118" s="41" t="s">
        <v>224</v>
      </c>
      <c r="O118" s="41"/>
      <c r="P118" s="42">
        <f>50000</f>
        <v>50000</v>
      </c>
      <c r="Q118" s="42"/>
      <c r="R118" s="42"/>
      <c r="S118" s="44" t="s">
        <v>41</v>
      </c>
      <c r="T118" s="44"/>
      <c r="U118" s="44"/>
      <c r="V118" s="44"/>
      <c r="W118" s="43">
        <f>50000</f>
        <v>50000</v>
      </c>
      <c r="X118" s="43"/>
    </row>
    <row r="119" spans="1:24" s="1" customFormat="1" ht="13.5" customHeight="1">
      <c r="A119" s="40" t="s">
        <v>205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1" t="s">
        <v>180</v>
      </c>
      <c r="M119" s="41"/>
      <c r="N119" s="41" t="s">
        <v>225</v>
      </c>
      <c r="O119" s="41"/>
      <c r="P119" s="42">
        <f>195408.67</f>
        <v>195408.67</v>
      </c>
      <c r="Q119" s="42"/>
      <c r="R119" s="42"/>
      <c r="S119" s="44" t="s">
        <v>41</v>
      </c>
      <c r="T119" s="44"/>
      <c r="U119" s="44"/>
      <c r="V119" s="44"/>
      <c r="W119" s="43">
        <f>195408.67</f>
        <v>195408.67</v>
      </c>
      <c r="X119" s="43"/>
    </row>
    <row r="120" spans="1:24" s="1" customFormat="1" ht="13.5" customHeight="1">
      <c r="A120" s="40" t="s">
        <v>207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1" t="s">
        <v>180</v>
      </c>
      <c r="M120" s="41"/>
      <c r="N120" s="41" t="s">
        <v>226</v>
      </c>
      <c r="O120" s="41"/>
      <c r="P120" s="42">
        <f>324000</f>
        <v>324000</v>
      </c>
      <c r="Q120" s="42"/>
      <c r="R120" s="42"/>
      <c r="S120" s="42">
        <f>233980</f>
        <v>233980</v>
      </c>
      <c r="T120" s="42"/>
      <c r="U120" s="42"/>
      <c r="V120" s="42"/>
      <c r="W120" s="43">
        <f>90020</f>
        <v>90020</v>
      </c>
      <c r="X120" s="43"/>
    </row>
    <row r="121" spans="1:24" s="1" customFormat="1" ht="24" customHeight="1">
      <c r="A121" s="40" t="s">
        <v>227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1" t="s">
        <v>180</v>
      </c>
      <c r="M121" s="41"/>
      <c r="N121" s="41" t="s">
        <v>228</v>
      </c>
      <c r="O121" s="41"/>
      <c r="P121" s="42">
        <f>270000</f>
        <v>270000</v>
      </c>
      <c r="Q121" s="42"/>
      <c r="R121" s="42"/>
      <c r="S121" s="42">
        <f>200000</f>
        <v>200000</v>
      </c>
      <c r="T121" s="42"/>
      <c r="U121" s="42"/>
      <c r="V121" s="42"/>
      <c r="W121" s="43">
        <f>70000</f>
        <v>70000</v>
      </c>
      <c r="X121" s="43"/>
    </row>
    <row r="122" spans="1:24" s="1" customFormat="1" ht="13.5" customHeight="1">
      <c r="A122" s="40" t="s">
        <v>209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1" t="s">
        <v>180</v>
      </c>
      <c r="M122" s="41"/>
      <c r="N122" s="41" t="s">
        <v>229</v>
      </c>
      <c r="O122" s="41"/>
      <c r="P122" s="42">
        <f>22000</f>
        <v>22000</v>
      </c>
      <c r="Q122" s="42"/>
      <c r="R122" s="42"/>
      <c r="S122" s="42">
        <f>3980</f>
        <v>3980</v>
      </c>
      <c r="T122" s="42"/>
      <c r="U122" s="42"/>
      <c r="V122" s="42"/>
      <c r="W122" s="43">
        <f>18020</f>
        <v>18020</v>
      </c>
      <c r="X122" s="43"/>
    </row>
    <row r="123" spans="1:24" s="1" customFormat="1" ht="13.5" customHeight="1">
      <c r="A123" s="40" t="s">
        <v>211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1" t="s">
        <v>180</v>
      </c>
      <c r="M123" s="41"/>
      <c r="N123" s="41" t="s">
        <v>230</v>
      </c>
      <c r="O123" s="41"/>
      <c r="P123" s="42">
        <f>30000</f>
        <v>30000</v>
      </c>
      <c r="Q123" s="42"/>
      <c r="R123" s="42"/>
      <c r="S123" s="42">
        <f>30000</f>
        <v>30000</v>
      </c>
      <c r="T123" s="42"/>
      <c r="U123" s="42"/>
      <c r="V123" s="42"/>
      <c r="W123" s="43">
        <f>0</f>
        <v>0</v>
      </c>
      <c r="X123" s="43"/>
    </row>
    <row r="124" spans="1:24" s="1" customFormat="1" ht="13.5" customHeight="1">
      <c r="A124" s="40" t="s">
        <v>211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 t="s">
        <v>180</v>
      </c>
      <c r="M124" s="41"/>
      <c r="N124" s="41" t="s">
        <v>231</v>
      </c>
      <c r="O124" s="41"/>
      <c r="P124" s="42">
        <f>2000</f>
        <v>2000</v>
      </c>
      <c r="Q124" s="42"/>
      <c r="R124" s="42"/>
      <c r="S124" s="44" t="s">
        <v>41</v>
      </c>
      <c r="T124" s="44"/>
      <c r="U124" s="44"/>
      <c r="V124" s="44"/>
      <c r="W124" s="43">
        <f>2000</f>
        <v>2000</v>
      </c>
      <c r="X124" s="43"/>
    </row>
    <row r="125" spans="1:24" s="1" customFormat="1" ht="13.5" customHeight="1">
      <c r="A125" s="40" t="s">
        <v>232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1" t="s">
        <v>180</v>
      </c>
      <c r="M125" s="41"/>
      <c r="N125" s="41" t="s">
        <v>233</v>
      </c>
      <c r="O125" s="41"/>
      <c r="P125" s="42">
        <f>434200</f>
        <v>434200</v>
      </c>
      <c r="Q125" s="42"/>
      <c r="R125" s="42"/>
      <c r="S125" s="42">
        <f>312762.55</f>
        <v>312762.55</v>
      </c>
      <c r="T125" s="42"/>
      <c r="U125" s="42"/>
      <c r="V125" s="42"/>
      <c r="W125" s="43">
        <f>121437.45</f>
        <v>121437.45</v>
      </c>
      <c r="X125" s="43"/>
    </row>
    <row r="126" spans="1:24" s="1" customFormat="1" ht="33.75" customHeight="1">
      <c r="A126" s="40" t="s">
        <v>183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1" t="s">
        <v>180</v>
      </c>
      <c r="M126" s="41"/>
      <c r="N126" s="41" t="s">
        <v>234</v>
      </c>
      <c r="O126" s="41"/>
      <c r="P126" s="42">
        <f>402700</f>
        <v>402700</v>
      </c>
      <c r="Q126" s="42"/>
      <c r="R126" s="42"/>
      <c r="S126" s="42">
        <f>312762.55</f>
        <v>312762.55</v>
      </c>
      <c r="T126" s="42"/>
      <c r="U126" s="42"/>
      <c r="V126" s="42"/>
      <c r="W126" s="43">
        <f>89937.45</f>
        <v>89937.45</v>
      </c>
      <c r="X126" s="43"/>
    </row>
    <row r="127" spans="1:24" s="1" customFormat="1" ht="24" customHeight="1">
      <c r="A127" s="40" t="s">
        <v>185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1" t="s">
        <v>180</v>
      </c>
      <c r="M127" s="41"/>
      <c r="N127" s="41" t="s">
        <v>235</v>
      </c>
      <c r="O127" s="41"/>
      <c r="P127" s="42">
        <f>309293</f>
        <v>309293</v>
      </c>
      <c r="Q127" s="42"/>
      <c r="R127" s="42"/>
      <c r="S127" s="42">
        <f>242201.36</f>
        <v>242201.36</v>
      </c>
      <c r="T127" s="42"/>
      <c r="U127" s="42"/>
      <c r="V127" s="42"/>
      <c r="W127" s="43">
        <f>67091.64</f>
        <v>67091.64</v>
      </c>
      <c r="X127" s="43"/>
    </row>
    <row r="128" spans="1:24" s="1" customFormat="1" ht="33.75" customHeight="1">
      <c r="A128" s="40" t="s">
        <v>187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1" t="s">
        <v>180</v>
      </c>
      <c r="M128" s="41"/>
      <c r="N128" s="41" t="s">
        <v>236</v>
      </c>
      <c r="O128" s="41"/>
      <c r="P128" s="42">
        <f>93407</f>
        <v>93407</v>
      </c>
      <c r="Q128" s="42"/>
      <c r="R128" s="42"/>
      <c r="S128" s="42">
        <f>70561.19</f>
        <v>70561.19</v>
      </c>
      <c r="T128" s="42"/>
      <c r="U128" s="42"/>
      <c r="V128" s="42"/>
      <c r="W128" s="43">
        <f>22845.81</f>
        <v>22845.81</v>
      </c>
      <c r="X128" s="43"/>
    </row>
    <row r="129" spans="1:24" s="1" customFormat="1" ht="24" customHeight="1">
      <c r="A129" s="40" t="s">
        <v>199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1" t="s">
        <v>180</v>
      </c>
      <c r="M129" s="41"/>
      <c r="N129" s="41" t="s">
        <v>237</v>
      </c>
      <c r="O129" s="41"/>
      <c r="P129" s="42">
        <f>31500</f>
        <v>31500</v>
      </c>
      <c r="Q129" s="42"/>
      <c r="R129" s="42"/>
      <c r="S129" s="44" t="s">
        <v>41</v>
      </c>
      <c r="T129" s="44"/>
      <c r="U129" s="44"/>
      <c r="V129" s="44"/>
      <c r="W129" s="43">
        <f>31500</f>
        <v>31500</v>
      </c>
      <c r="X129" s="43"/>
    </row>
    <row r="130" spans="1:24" s="1" customFormat="1" ht="13.5" customHeight="1">
      <c r="A130" s="40" t="s">
        <v>203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1" t="s">
        <v>180</v>
      </c>
      <c r="M130" s="41"/>
      <c r="N130" s="41" t="s">
        <v>238</v>
      </c>
      <c r="O130" s="41"/>
      <c r="P130" s="42">
        <f>31500</f>
        <v>31500</v>
      </c>
      <c r="Q130" s="42"/>
      <c r="R130" s="42"/>
      <c r="S130" s="44" t="s">
        <v>41</v>
      </c>
      <c r="T130" s="44"/>
      <c r="U130" s="44"/>
      <c r="V130" s="44"/>
      <c r="W130" s="43">
        <f>31500</f>
        <v>31500</v>
      </c>
      <c r="X130" s="43"/>
    </row>
    <row r="131" spans="1:24" s="1" customFormat="1" ht="24" customHeight="1">
      <c r="A131" s="40" t="s">
        <v>239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1" t="s">
        <v>180</v>
      </c>
      <c r="M131" s="41"/>
      <c r="N131" s="41" t="s">
        <v>240</v>
      </c>
      <c r="O131" s="41"/>
      <c r="P131" s="42">
        <f>560000</f>
        <v>560000</v>
      </c>
      <c r="Q131" s="42"/>
      <c r="R131" s="42"/>
      <c r="S131" s="42">
        <f>201912</f>
        <v>201912</v>
      </c>
      <c r="T131" s="42"/>
      <c r="U131" s="42"/>
      <c r="V131" s="42"/>
      <c r="W131" s="43">
        <f>358088</f>
        <v>358088</v>
      </c>
      <c r="X131" s="43"/>
    </row>
    <row r="132" spans="1:24" s="1" customFormat="1" ht="24" customHeight="1">
      <c r="A132" s="40" t="s">
        <v>199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 t="s">
        <v>180</v>
      </c>
      <c r="M132" s="41"/>
      <c r="N132" s="41" t="s">
        <v>241</v>
      </c>
      <c r="O132" s="41"/>
      <c r="P132" s="42">
        <f>560000</f>
        <v>560000</v>
      </c>
      <c r="Q132" s="42"/>
      <c r="R132" s="42"/>
      <c r="S132" s="42">
        <f>201912</f>
        <v>201912</v>
      </c>
      <c r="T132" s="42"/>
      <c r="U132" s="42"/>
      <c r="V132" s="42"/>
      <c r="W132" s="43">
        <f>358088</f>
        <v>358088</v>
      </c>
      <c r="X132" s="43"/>
    </row>
    <row r="133" spans="1:24" s="1" customFormat="1" ht="13.5" customHeight="1">
      <c r="A133" s="40" t="s">
        <v>203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1" t="s">
        <v>180</v>
      </c>
      <c r="M133" s="41"/>
      <c r="N133" s="41" t="s">
        <v>242</v>
      </c>
      <c r="O133" s="41"/>
      <c r="P133" s="42">
        <f>35000</f>
        <v>35000</v>
      </c>
      <c r="Q133" s="42"/>
      <c r="R133" s="42"/>
      <c r="S133" s="44" t="s">
        <v>41</v>
      </c>
      <c r="T133" s="44"/>
      <c r="U133" s="44"/>
      <c r="V133" s="44"/>
      <c r="W133" s="43">
        <f>35000</f>
        <v>35000</v>
      </c>
      <c r="X133" s="43"/>
    </row>
    <row r="134" spans="1:24" s="1" customFormat="1" ht="13.5" customHeight="1">
      <c r="A134" s="40" t="s">
        <v>203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1" t="s">
        <v>180</v>
      </c>
      <c r="M134" s="41"/>
      <c r="N134" s="41" t="s">
        <v>243</v>
      </c>
      <c r="O134" s="41"/>
      <c r="P134" s="42">
        <f>20000</f>
        <v>20000</v>
      </c>
      <c r="Q134" s="42"/>
      <c r="R134" s="42"/>
      <c r="S134" s="44" t="s">
        <v>41</v>
      </c>
      <c r="T134" s="44"/>
      <c r="U134" s="44"/>
      <c r="V134" s="44"/>
      <c r="W134" s="43">
        <f>20000</f>
        <v>20000</v>
      </c>
      <c r="X134" s="43"/>
    </row>
    <row r="135" spans="1:24" s="1" customFormat="1" ht="13.5" customHeight="1">
      <c r="A135" s="40" t="s">
        <v>203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1" t="s">
        <v>180</v>
      </c>
      <c r="M135" s="41"/>
      <c r="N135" s="41" t="s">
        <v>244</v>
      </c>
      <c r="O135" s="41"/>
      <c r="P135" s="42">
        <f>240000</f>
        <v>240000</v>
      </c>
      <c r="Q135" s="42"/>
      <c r="R135" s="42"/>
      <c r="S135" s="42">
        <f>95400</f>
        <v>95400</v>
      </c>
      <c r="T135" s="42"/>
      <c r="U135" s="42"/>
      <c r="V135" s="42"/>
      <c r="W135" s="43">
        <f>144600</f>
        <v>144600</v>
      </c>
      <c r="X135" s="43"/>
    </row>
    <row r="136" spans="1:24" s="1" customFormat="1" ht="13.5" customHeight="1">
      <c r="A136" s="40" t="s">
        <v>203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1" t="s">
        <v>180</v>
      </c>
      <c r="M136" s="41"/>
      <c r="N136" s="41" t="s">
        <v>245</v>
      </c>
      <c r="O136" s="41"/>
      <c r="P136" s="42">
        <f>10000</f>
        <v>10000</v>
      </c>
      <c r="Q136" s="42"/>
      <c r="R136" s="42"/>
      <c r="S136" s="42">
        <f>9702</f>
        <v>9702</v>
      </c>
      <c r="T136" s="42"/>
      <c r="U136" s="42"/>
      <c r="V136" s="42"/>
      <c r="W136" s="43">
        <f>298</f>
        <v>298</v>
      </c>
      <c r="X136" s="43"/>
    </row>
    <row r="137" spans="1:24" s="1" customFormat="1" ht="13.5" customHeight="1">
      <c r="A137" s="40" t="s">
        <v>203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1" t="s">
        <v>180</v>
      </c>
      <c r="M137" s="41"/>
      <c r="N137" s="41" t="s">
        <v>246</v>
      </c>
      <c r="O137" s="41"/>
      <c r="P137" s="42">
        <f>10000</f>
        <v>10000</v>
      </c>
      <c r="Q137" s="42"/>
      <c r="R137" s="42"/>
      <c r="S137" s="42">
        <f>2310</f>
        <v>2310</v>
      </c>
      <c r="T137" s="42"/>
      <c r="U137" s="42"/>
      <c r="V137" s="42"/>
      <c r="W137" s="43">
        <f>7690</f>
        <v>7690</v>
      </c>
      <c r="X137" s="43"/>
    </row>
    <row r="138" spans="1:24" s="1" customFormat="1" ht="13.5" customHeight="1">
      <c r="A138" s="40" t="s">
        <v>203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1" t="s">
        <v>180</v>
      </c>
      <c r="M138" s="41"/>
      <c r="N138" s="41" t="s">
        <v>247</v>
      </c>
      <c r="O138" s="41"/>
      <c r="P138" s="42">
        <f>10000</f>
        <v>10000</v>
      </c>
      <c r="Q138" s="42"/>
      <c r="R138" s="42"/>
      <c r="S138" s="42">
        <f>10000</f>
        <v>10000</v>
      </c>
      <c r="T138" s="42"/>
      <c r="U138" s="42"/>
      <c r="V138" s="42"/>
      <c r="W138" s="43">
        <f>0</f>
        <v>0</v>
      </c>
      <c r="X138" s="43"/>
    </row>
    <row r="139" spans="1:24" s="1" customFormat="1" ht="13.5" customHeight="1">
      <c r="A139" s="40" t="s">
        <v>203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1" t="s">
        <v>180</v>
      </c>
      <c r="M139" s="41"/>
      <c r="N139" s="41" t="s">
        <v>248</v>
      </c>
      <c r="O139" s="41"/>
      <c r="P139" s="42">
        <f>235000</f>
        <v>235000</v>
      </c>
      <c r="Q139" s="42"/>
      <c r="R139" s="42"/>
      <c r="S139" s="42">
        <f>84500</f>
        <v>84500</v>
      </c>
      <c r="T139" s="42"/>
      <c r="U139" s="42"/>
      <c r="V139" s="42"/>
      <c r="W139" s="43">
        <f>150500</f>
        <v>150500</v>
      </c>
      <c r="X139" s="43"/>
    </row>
    <row r="140" spans="1:24" s="1" customFormat="1" ht="13.5" customHeight="1">
      <c r="A140" s="40" t="s">
        <v>249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 t="s">
        <v>180</v>
      </c>
      <c r="M140" s="41"/>
      <c r="N140" s="41" t="s">
        <v>250</v>
      </c>
      <c r="O140" s="41"/>
      <c r="P140" s="42">
        <f>119300</f>
        <v>119300</v>
      </c>
      <c r="Q140" s="42"/>
      <c r="R140" s="42"/>
      <c r="S140" s="42">
        <f>70485.7</f>
        <v>70485.7</v>
      </c>
      <c r="T140" s="42"/>
      <c r="U140" s="42"/>
      <c r="V140" s="42"/>
      <c r="W140" s="43">
        <f>48814.3</f>
        <v>48814.3</v>
      </c>
      <c r="X140" s="43"/>
    </row>
    <row r="141" spans="1:24" s="1" customFormat="1" ht="33.75" customHeight="1">
      <c r="A141" s="40" t="s">
        <v>183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1" t="s">
        <v>180</v>
      </c>
      <c r="M141" s="41"/>
      <c r="N141" s="41" t="s">
        <v>251</v>
      </c>
      <c r="O141" s="41"/>
      <c r="P141" s="42">
        <f>113600</f>
        <v>113600</v>
      </c>
      <c r="Q141" s="42"/>
      <c r="R141" s="42"/>
      <c r="S141" s="42">
        <f>70485.7</f>
        <v>70485.7</v>
      </c>
      <c r="T141" s="42"/>
      <c r="U141" s="42"/>
      <c r="V141" s="42"/>
      <c r="W141" s="43">
        <f>43114.3</f>
        <v>43114.3</v>
      </c>
      <c r="X141" s="43"/>
    </row>
    <row r="142" spans="1:24" s="1" customFormat="1" ht="24" customHeight="1">
      <c r="A142" s="40" t="s">
        <v>185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1" t="s">
        <v>180</v>
      </c>
      <c r="M142" s="41"/>
      <c r="N142" s="41" t="s">
        <v>252</v>
      </c>
      <c r="O142" s="41"/>
      <c r="P142" s="42">
        <f>87250</f>
        <v>87250</v>
      </c>
      <c r="Q142" s="42"/>
      <c r="R142" s="42"/>
      <c r="S142" s="42">
        <f>54350</f>
        <v>54350</v>
      </c>
      <c r="T142" s="42"/>
      <c r="U142" s="42"/>
      <c r="V142" s="42"/>
      <c r="W142" s="43">
        <f>32900</f>
        <v>32900</v>
      </c>
      <c r="X142" s="43"/>
    </row>
    <row r="143" spans="1:24" s="1" customFormat="1" ht="33.75" customHeight="1">
      <c r="A143" s="40" t="s">
        <v>187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1" t="s">
        <v>180</v>
      </c>
      <c r="M143" s="41"/>
      <c r="N143" s="41" t="s">
        <v>253</v>
      </c>
      <c r="O143" s="41"/>
      <c r="P143" s="42">
        <f>26350</f>
        <v>26350</v>
      </c>
      <c r="Q143" s="42"/>
      <c r="R143" s="42"/>
      <c r="S143" s="42">
        <f>16135.7</f>
        <v>16135.7</v>
      </c>
      <c r="T143" s="42"/>
      <c r="U143" s="42"/>
      <c r="V143" s="42"/>
      <c r="W143" s="43">
        <f>10214.3</f>
        <v>10214.3</v>
      </c>
      <c r="X143" s="43"/>
    </row>
    <row r="144" spans="1:24" s="1" customFormat="1" ht="24" customHeight="1">
      <c r="A144" s="40" t="s">
        <v>199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 t="s">
        <v>180</v>
      </c>
      <c r="M144" s="41"/>
      <c r="N144" s="41" t="s">
        <v>254</v>
      </c>
      <c r="O144" s="41"/>
      <c r="P144" s="42">
        <f>5700</f>
        <v>5700</v>
      </c>
      <c r="Q144" s="42"/>
      <c r="R144" s="42"/>
      <c r="S144" s="44" t="s">
        <v>41</v>
      </c>
      <c r="T144" s="44"/>
      <c r="U144" s="44"/>
      <c r="V144" s="44"/>
      <c r="W144" s="43">
        <f>5700</f>
        <v>5700</v>
      </c>
      <c r="X144" s="43"/>
    </row>
    <row r="145" spans="1:24" s="1" customFormat="1" ht="13.5" customHeight="1">
      <c r="A145" s="40" t="s">
        <v>203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1" t="s">
        <v>180</v>
      </c>
      <c r="M145" s="41"/>
      <c r="N145" s="41" t="s">
        <v>255</v>
      </c>
      <c r="O145" s="41"/>
      <c r="P145" s="42">
        <f>5700</f>
        <v>5700</v>
      </c>
      <c r="Q145" s="42"/>
      <c r="R145" s="42"/>
      <c r="S145" s="44" t="s">
        <v>41</v>
      </c>
      <c r="T145" s="44"/>
      <c r="U145" s="44"/>
      <c r="V145" s="44"/>
      <c r="W145" s="43">
        <f>5700</f>
        <v>5700</v>
      </c>
      <c r="X145" s="43"/>
    </row>
    <row r="146" spans="1:24" s="1" customFormat="1" ht="13.5" customHeight="1">
      <c r="A146" s="40" t="s">
        <v>256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1" t="s">
        <v>180</v>
      </c>
      <c r="M146" s="41"/>
      <c r="N146" s="41" t="s">
        <v>257</v>
      </c>
      <c r="O146" s="41"/>
      <c r="P146" s="42">
        <f>3810773.52</f>
        <v>3810773.52</v>
      </c>
      <c r="Q146" s="42"/>
      <c r="R146" s="42"/>
      <c r="S146" s="42">
        <f>451349.9</f>
        <v>451349.9</v>
      </c>
      <c r="T146" s="42"/>
      <c r="U146" s="42"/>
      <c r="V146" s="42"/>
      <c r="W146" s="43">
        <f>3359423.62</f>
        <v>3359423.62</v>
      </c>
      <c r="X146" s="43"/>
    </row>
    <row r="147" spans="1:24" s="1" customFormat="1" ht="24" customHeight="1">
      <c r="A147" s="40" t="s">
        <v>199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1" t="s">
        <v>180</v>
      </c>
      <c r="M147" s="41"/>
      <c r="N147" s="41" t="s">
        <v>258</v>
      </c>
      <c r="O147" s="41"/>
      <c r="P147" s="42">
        <f>3810773.52</f>
        <v>3810773.52</v>
      </c>
      <c r="Q147" s="42"/>
      <c r="R147" s="42"/>
      <c r="S147" s="42">
        <f>451349.9</f>
        <v>451349.9</v>
      </c>
      <c r="T147" s="42"/>
      <c r="U147" s="42"/>
      <c r="V147" s="42"/>
      <c r="W147" s="43">
        <f>3359423.62</f>
        <v>3359423.62</v>
      </c>
      <c r="X147" s="43"/>
    </row>
    <row r="148" spans="1:24" s="1" customFormat="1" ht="13.5" customHeight="1">
      <c r="A148" s="40" t="s">
        <v>203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1" t="s">
        <v>180</v>
      </c>
      <c r="M148" s="41"/>
      <c r="N148" s="41" t="s">
        <v>259</v>
      </c>
      <c r="O148" s="41"/>
      <c r="P148" s="42">
        <f>1778985.02</f>
        <v>1778985.02</v>
      </c>
      <c r="Q148" s="42"/>
      <c r="R148" s="42"/>
      <c r="S148" s="42">
        <f>433349.9</f>
        <v>433349.9</v>
      </c>
      <c r="T148" s="42"/>
      <c r="U148" s="42"/>
      <c r="V148" s="42"/>
      <c r="W148" s="43">
        <f>1345635.12</f>
        <v>1345635.12</v>
      </c>
      <c r="X148" s="43"/>
    </row>
    <row r="149" spans="1:24" s="1" customFormat="1" ht="13.5" customHeight="1">
      <c r="A149" s="40" t="s">
        <v>203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1" t="s">
        <v>180</v>
      </c>
      <c r="M149" s="41"/>
      <c r="N149" s="41" t="s">
        <v>260</v>
      </c>
      <c r="O149" s="41"/>
      <c r="P149" s="42">
        <f>380000</f>
        <v>380000</v>
      </c>
      <c r="Q149" s="42"/>
      <c r="R149" s="42"/>
      <c r="S149" s="44" t="s">
        <v>41</v>
      </c>
      <c r="T149" s="44"/>
      <c r="U149" s="44"/>
      <c r="V149" s="44"/>
      <c r="W149" s="43">
        <f>380000</f>
        <v>380000</v>
      </c>
      <c r="X149" s="43"/>
    </row>
    <row r="150" spans="1:24" s="1" customFormat="1" ht="13.5" customHeight="1">
      <c r="A150" s="40" t="s">
        <v>203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1" t="s">
        <v>180</v>
      </c>
      <c r="M150" s="41"/>
      <c r="N150" s="41" t="s">
        <v>261</v>
      </c>
      <c r="O150" s="41"/>
      <c r="P150" s="42">
        <f>20000</f>
        <v>20000</v>
      </c>
      <c r="Q150" s="42"/>
      <c r="R150" s="42"/>
      <c r="S150" s="42">
        <f>18000</f>
        <v>18000</v>
      </c>
      <c r="T150" s="42"/>
      <c r="U150" s="42"/>
      <c r="V150" s="42"/>
      <c r="W150" s="43">
        <f>2000</f>
        <v>2000</v>
      </c>
      <c r="X150" s="43"/>
    </row>
    <row r="151" spans="1:24" s="1" customFormat="1" ht="13.5" customHeight="1">
      <c r="A151" s="40" t="s">
        <v>203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1" t="s">
        <v>180</v>
      </c>
      <c r="M151" s="41"/>
      <c r="N151" s="41" t="s">
        <v>262</v>
      </c>
      <c r="O151" s="41"/>
      <c r="P151" s="42">
        <f>1468476.5</f>
        <v>1468476.5</v>
      </c>
      <c r="Q151" s="42"/>
      <c r="R151" s="42"/>
      <c r="S151" s="44" t="s">
        <v>41</v>
      </c>
      <c r="T151" s="44"/>
      <c r="U151" s="44"/>
      <c r="V151" s="44"/>
      <c r="W151" s="43">
        <f>1468476.5</f>
        <v>1468476.5</v>
      </c>
      <c r="X151" s="43"/>
    </row>
    <row r="152" spans="1:24" s="1" customFormat="1" ht="13.5" customHeight="1">
      <c r="A152" s="40" t="s">
        <v>203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1" t="s">
        <v>180</v>
      </c>
      <c r="M152" s="41"/>
      <c r="N152" s="41" t="s">
        <v>263</v>
      </c>
      <c r="O152" s="41"/>
      <c r="P152" s="42">
        <f>163312</f>
        <v>163312</v>
      </c>
      <c r="Q152" s="42"/>
      <c r="R152" s="42"/>
      <c r="S152" s="44" t="s">
        <v>41</v>
      </c>
      <c r="T152" s="44"/>
      <c r="U152" s="44"/>
      <c r="V152" s="44"/>
      <c r="W152" s="43">
        <f>163312</f>
        <v>163312</v>
      </c>
      <c r="X152" s="43"/>
    </row>
    <row r="153" spans="1:24" s="1" customFormat="1" ht="13.5" customHeight="1">
      <c r="A153" s="40" t="s">
        <v>264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1" t="s">
        <v>180</v>
      </c>
      <c r="M153" s="41"/>
      <c r="N153" s="41" t="s">
        <v>265</v>
      </c>
      <c r="O153" s="41"/>
      <c r="P153" s="42">
        <f>176000</f>
        <v>176000</v>
      </c>
      <c r="Q153" s="42"/>
      <c r="R153" s="42"/>
      <c r="S153" s="42">
        <f>90000</f>
        <v>90000</v>
      </c>
      <c r="T153" s="42"/>
      <c r="U153" s="42"/>
      <c r="V153" s="42"/>
      <c r="W153" s="43">
        <f>86000</f>
        <v>86000</v>
      </c>
      <c r="X153" s="43"/>
    </row>
    <row r="154" spans="1:24" s="1" customFormat="1" ht="24" customHeight="1">
      <c r="A154" s="40" t="s">
        <v>199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1" t="s">
        <v>180</v>
      </c>
      <c r="M154" s="41"/>
      <c r="N154" s="41" t="s">
        <v>266</v>
      </c>
      <c r="O154" s="41"/>
      <c r="P154" s="42">
        <f>156000</f>
        <v>156000</v>
      </c>
      <c r="Q154" s="42"/>
      <c r="R154" s="42"/>
      <c r="S154" s="42">
        <f>90000</f>
        <v>90000</v>
      </c>
      <c r="T154" s="42"/>
      <c r="U154" s="42"/>
      <c r="V154" s="42"/>
      <c r="W154" s="43">
        <f>66000</f>
        <v>66000</v>
      </c>
      <c r="X154" s="43"/>
    </row>
    <row r="155" spans="1:24" s="1" customFormat="1" ht="13.5" customHeight="1">
      <c r="A155" s="40" t="s">
        <v>203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1" t="s">
        <v>180</v>
      </c>
      <c r="M155" s="41"/>
      <c r="N155" s="41" t="s">
        <v>267</v>
      </c>
      <c r="O155" s="41"/>
      <c r="P155" s="42">
        <f>156000</f>
        <v>156000</v>
      </c>
      <c r="Q155" s="42"/>
      <c r="R155" s="42"/>
      <c r="S155" s="42">
        <f>90000</f>
        <v>90000</v>
      </c>
      <c r="T155" s="42"/>
      <c r="U155" s="42"/>
      <c r="V155" s="42"/>
      <c r="W155" s="43">
        <f>66000</f>
        <v>66000</v>
      </c>
      <c r="X155" s="43"/>
    </row>
    <row r="156" spans="1:24" s="1" customFormat="1" ht="24" customHeight="1">
      <c r="A156" s="40" t="s">
        <v>268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1" t="s">
        <v>180</v>
      </c>
      <c r="M156" s="41"/>
      <c r="N156" s="41" t="s">
        <v>269</v>
      </c>
      <c r="O156" s="41"/>
      <c r="P156" s="42">
        <f>20000</f>
        <v>20000</v>
      </c>
      <c r="Q156" s="42"/>
      <c r="R156" s="42"/>
      <c r="S156" s="44" t="s">
        <v>41</v>
      </c>
      <c r="T156" s="44"/>
      <c r="U156" s="44"/>
      <c r="V156" s="44"/>
      <c r="W156" s="43">
        <f>20000</f>
        <v>20000</v>
      </c>
      <c r="X156" s="43"/>
    </row>
    <row r="157" spans="1:24" s="1" customFormat="1" ht="24" customHeight="1">
      <c r="A157" s="40" t="s">
        <v>270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1" t="s">
        <v>180</v>
      </c>
      <c r="M157" s="41"/>
      <c r="N157" s="41" t="s">
        <v>271</v>
      </c>
      <c r="O157" s="41"/>
      <c r="P157" s="42">
        <f>20000</f>
        <v>20000</v>
      </c>
      <c r="Q157" s="42"/>
      <c r="R157" s="42"/>
      <c r="S157" s="44" t="s">
        <v>41</v>
      </c>
      <c r="T157" s="44"/>
      <c r="U157" s="44"/>
      <c r="V157" s="44"/>
      <c r="W157" s="43">
        <f>20000</f>
        <v>20000</v>
      </c>
      <c r="X157" s="43"/>
    </row>
    <row r="158" spans="1:24" s="1" customFormat="1" ht="13.5" customHeight="1">
      <c r="A158" s="40" t="s">
        <v>272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1" t="s">
        <v>180</v>
      </c>
      <c r="M158" s="41"/>
      <c r="N158" s="41" t="s">
        <v>273</v>
      </c>
      <c r="O158" s="41"/>
      <c r="P158" s="42">
        <f>951184</f>
        <v>951184</v>
      </c>
      <c r="Q158" s="42"/>
      <c r="R158" s="42"/>
      <c r="S158" s="42">
        <f>339508.69</f>
        <v>339508.69</v>
      </c>
      <c r="T158" s="42"/>
      <c r="U158" s="42"/>
      <c r="V158" s="42"/>
      <c r="W158" s="43">
        <f>611675.31</f>
        <v>611675.31</v>
      </c>
      <c r="X158" s="43"/>
    </row>
    <row r="159" spans="1:24" s="1" customFormat="1" ht="24" customHeight="1">
      <c r="A159" s="40" t="s">
        <v>199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1" t="s">
        <v>180</v>
      </c>
      <c r="M159" s="41"/>
      <c r="N159" s="41" t="s">
        <v>274</v>
      </c>
      <c r="O159" s="41"/>
      <c r="P159" s="42">
        <f>951184</f>
        <v>951184</v>
      </c>
      <c r="Q159" s="42"/>
      <c r="R159" s="42"/>
      <c r="S159" s="42">
        <f>339508.69</f>
        <v>339508.69</v>
      </c>
      <c r="T159" s="42"/>
      <c r="U159" s="42"/>
      <c r="V159" s="42"/>
      <c r="W159" s="43">
        <f>611675.31</f>
        <v>611675.31</v>
      </c>
      <c r="X159" s="43"/>
    </row>
    <row r="160" spans="1:24" s="1" customFormat="1" ht="13.5" customHeight="1">
      <c r="A160" s="40" t="s">
        <v>203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1" t="s">
        <v>180</v>
      </c>
      <c r="M160" s="41"/>
      <c r="N160" s="41" t="s">
        <v>275</v>
      </c>
      <c r="O160" s="41"/>
      <c r="P160" s="42">
        <f>195986.84</f>
        <v>195986.84</v>
      </c>
      <c r="Q160" s="42"/>
      <c r="R160" s="42"/>
      <c r="S160" s="42">
        <f>195986.84</f>
        <v>195986.84</v>
      </c>
      <c r="T160" s="42"/>
      <c r="U160" s="42"/>
      <c r="V160" s="42"/>
      <c r="W160" s="43">
        <f>0</f>
        <v>0</v>
      </c>
      <c r="X160" s="43"/>
    </row>
    <row r="161" spans="1:24" s="1" customFormat="1" ht="13.5" customHeight="1">
      <c r="A161" s="40" t="s">
        <v>203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1" t="s">
        <v>180</v>
      </c>
      <c r="M161" s="41"/>
      <c r="N161" s="41" t="s">
        <v>276</v>
      </c>
      <c r="O161" s="41"/>
      <c r="P161" s="42">
        <f>515000</f>
        <v>515000</v>
      </c>
      <c r="Q161" s="42"/>
      <c r="R161" s="42"/>
      <c r="S161" s="44" t="s">
        <v>41</v>
      </c>
      <c r="T161" s="44"/>
      <c r="U161" s="44"/>
      <c r="V161" s="44"/>
      <c r="W161" s="43">
        <f>515000</f>
        <v>515000</v>
      </c>
      <c r="X161" s="43"/>
    </row>
    <row r="162" spans="1:24" s="1" customFormat="1" ht="13.5" customHeight="1">
      <c r="A162" s="40" t="s">
        <v>203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1" t="s">
        <v>180</v>
      </c>
      <c r="M162" s="41"/>
      <c r="N162" s="41" t="s">
        <v>277</v>
      </c>
      <c r="O162" s="41"/>
      <c r="P162" s="42">
        <f>33103.82</f>
        <v>33103.82</v>
      </c>
      <c r="Q162" s="42"/>
      <c r="R162" s="42"/>
      <c r="S162" s="42">
        <f>33103.82</f>
        <v>33103.82</v>
      </c>
      <c r="T162" s="42"/>
      <c r="U162" s="42"/>
      <c r="V162" s="42"/>
      <c r="W162" s="43">
        <f>0</f>
        <v>0</v>
      </c>
      <c r="X162" s="43"/>
    </row>
    <row r="163" spans="1:24" s="1" customFormat="1" ht="13.5" customHeight="1">
      <c r="A163" s="40" t="s">
        <v>205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1" t="s">
        <v>180</v>
      </c>
      <c r="M163" s="41"/>
      <c r="N163" s="41" t="s">
        <v>278</v>
      </c>
      <c r="O163" s="41"/>
      <c r="P163" s="42">
        <f>207093.34</f>
        <v>207093.34</v>
      </c>
      <c r="Q163" s="42"/>
      <c r="R163" s="42"/>
      <c r="S163" s="42">
        <f>110418.03</f>
        <v>110418.03</v>
      </c>
      <c r="T163" s="42"/>
      <c r="U163" s="42"/>
      <c r="V163" s="42"/>
      <c r="W163" s="43">
        <f>96675.31</f>
        <v>96675.31</v>
      </c>
      <c r="X163" s="43"/>
    </row>
    <row r="164" spans="1:24" s="1" customFormat="1" ht="13.5" customHeight="1">
      <c r="A164" s="40" t="s">
        <v>279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1" t="s">
        <v>180</v>
      </c>
      <c r="M164" s="41"/>
      <c r="N164" s="41" t="s">
        <v>280</v>
      </c>
      <c r="O164" s="41"/>
      <c r="P164" s="42">
        <f>34765877</f>
        <v>34765877</v>
      </c>
      <c r="Q164" s="42"/>
      <c r="R164" s="42"/>
      <c r="S164" s="42">
        <f>7636977.18</f>
        <v>7636977.18</v>
      </c>
      <c r="T164" s="42"/>
      <c r="U164" s="42"/>
      <c r="V164" s="42"/>
      <c r="W164" s="43">
        <f>27128899.82</f>
        <v>27128899.82</v>
      </c>
      <c r="X164" s="43"/>
    </row>
    <row r="165" spans="1:24" s="1" customFormat="1" ht="24" customHeight="1">
      <c r="A165" s="40" t="s">
        <v>199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1" t="s">
        <v>180</v>
      </c>
      <c r="M165" s="41"/>
      <c r="N165" s="41" t="s">
        <v>281</v>
      </c>
      <c r="O165" s="41"/>
      <c r="P165" s="42">
        <f>10495154</f>
        <v>10495154</v>
      </c>
      <c r="Q165" s="42"/>
      <c r="R165" s="42"/>
      <c r="S165" s="42">
        <f>7366254.18</f>
        <v>7366254.18</v>
      </c>
      <c r="T165" s="42"/>
      <c r="U165" s="42"/>
      <c r="V165" s="42"/>
      <c r="W165" s="43">
        <f>3128899.82</f>
        <v>3128899.82</v>
      </c>
      <c r="X165" s="43"/>
    </row>
    <row r="166" spans="1:24" s="1" customFormat="1" ht="13.5" customHeight="1">
      <c r="A166" s="40" t="s">
        <v>203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1" t="s">
        <v>180</v>
      </c>
      <c r="M166" s="41"/>
      <c r="N166" s="41" t="s">
        <v>282</v>
      </c>
      <c r="O166" s="41"/>
      <c r="P166" s="42">
        <f>1883617.03</f>
        <v>1883617.03</v>
      </c>
      <c r="Q166" s="42"/>
      <c r="R166" s="42"/>
      <c r="S166" s="42">
        <f>1883562</f>
        <v>1883562</v>
      </c>
      <c r="T166" s="42"/>
      <c r="U166" s="42"/>
      <c r="V166" s="42"/>
      <c r="W166" s="43">
        <f>55.03</f>
        <v>55.03</v>
      </c>
      <c r="X166" s="43"/>
    </row>
    <row r="167" spans="1:24" s="1" customFormat="1" ht="13.5" customHeight="1">
      <c r="A167" s="40" t="s">
        <v>203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1" t="s">
        <v>180</v>
      </c>
      <c r="M167" s="41"/>
      <c r="N167" s="41" t="s">
        <v>283</v>
      </c>
      <c r="O167" s="41"/>
      <c r="P167" s="42">
        <f>3900982.97</f>
        <v>3900982.97</v>
      </c>
      <c r="Q167" s="42"/>
      <c r="R167" s="42"/>
      <c r="S167" s="42">
        <f>3300049.21</f>
        <v>3300049.21</v>
      </c>
      <c r="T167" s="42"/>
      <c r="U167" s="42"/>
      <c r="V167" s="42"/>
      <c r="W167" s="43">
        <f>600933.76</f>
        <v>600933.76</v>
      </c>
      <c r="X167" s="43"/>
    </row>
    <row r="168" spans="1:24" s="1" customFormat="1" ht="13.5" customHeight="1">
      <c r="A168" s="40" t="s">
        <v>203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1" t="s">
        <v>180</v>
      </c>
      <c r="M168" s="41"/>
      <c r="N168" s="41" t="s">
        <v>284</v>
      </c>
      <c r="O168" s="41"/>
      <c r="P168" s="42">
        <f>180000</f>
        <v>180000</v>
      </c>
      <c r="Q168" s="42"/>
      <c r="R168" s="42"/>
      <c r="S168" s="42">
        <f>67049.64</f>
        <v>67049.64</v>
      </c>
      <c r="T168" s="42"/>
      <c r="U168" s="42"/>
      <c r="V168" s="42"/>
      <c r="W168" s="43">
        <f>112950.36</f>
        <v>112950.36</v>
      </c>
      <c r="X168" s="43"/>
    </row>
    <row r="169" spans="1:24" s="1" customFormat="1" ht="13.5" customHeight="1">
      <c r="A169" s="40" t="s">
        <v>203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1" t="s">
        <v>180</v>
      </c>
      <c r="M169" s="41"/>
      <c r="N169" s="41" t="s">
        <v>285</v>
      </c>
      <c r="O169" s="41"/>
      <c r="P169" s="42">
        <f>0</f>
        <v>0</v>
      </c>
      <c r="Q169" s="42"/>
      <c r="R169" s="42"/>
      <c r="S169" s="44" t="s">
        <v>41</v>
      </c>
      <c r="T169" s="44"/>
      <c r="U169" s="44"/>
      <c r="V169" s="44"/>
      <c r="W169" s="45" t="s">
        <v>41</v>
      </c>
      <c r="X169" s="45"/>
    </row>
    <row r="170" spans="1:24" s="1" customFormat="1" ht="13.5" customHeight="1">
      <c r="A170" s="40" t="s">
        <v>203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1" t="s">
        <v>180</v>
      </c>
      <c r="M170" s="41"/>
      <c r="N170" s="41" t="s">
        <v>286</v>
      </c>
      <c r="O170" s="41"/>
      <c r="P170" s="42">
        <f>8000</f>
        <v>8000</v>
      </c>
      <c r="Q170" s="42"/>
      <c r="R170" s="42"/>
      <c r="S170" s="42">
        <f>7870</f>
        <v>7870</v>
      </c>
      <c r="T170" s="42"/>
      <c r="U170" s="42"/>
      <c r="V170" s="42"/>
      <c r="W170" s="43">
        <f>130</f>
        <v>130</v>
      </c>
      <c r="X170" s="43"/>
    </row>
    <row r="171" spans="1:24" s="1" customFormat="1" ht="13.5" customHeight="1">
      <c r="A171" s="40" t="s">
        <v>203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1" t="s">
        <v>180</v>
      </c>
      <c r="M171" s="41"/>
      <c r="N171" s="41" t="s">
        <v>287</v>
      </c>
      <c r="O171" s="41"/>
      <c r="P171" s="42">
        <f>864000</f>
        <v>864000</v>
      </c>
      <c r="Q171" s="42"/>
      <c r="R171" s="42"/>
      <c r="S171" s="42">
        <f>576000</f>
        <v>576000</v>
      </c>
      <c r="T171" s="42"/>
      <c r="U171" s="42"/>
      <c r="V171" s="42"/>
      <c r="W171" s="43">
        <f>288000</f>
        <v>288000</v>
      </c>
      <c r="X171" s="43"/>
    </row>
    <row r="172" spans="1:24" s="1" customFormat="1" ht="13.5" customHeight="1">
      <c r="A172" s="40" t="s">
        <v>203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1" t="s">
        <v>180</v>
      </c>
      <c r="M172" s="41"/>
      <c r="N172" s="41" t="s">
        <v>288</v>
      </c>
      <c r="O172" s="41"/>
      <c r="P172" s="42">
        <f>3658554</f>
        <v>3658554</v>
      </c>
      <c r="Q172" s="42"/>
      <c r="R172" s="42"/>
      <c r="S172" s="42">
        <f>1531723.33</f>
        <v>1531723.33</v>
      </c>
      <c r="T172" s="42"/>
      <c r="U172" s="42"/>
      <c r="V172" s="42"/>
      <c r="W172" s="43">
        <f>2126830.67</f>
        <v>2126830.67</v>
      </c>
      <c r="X172" s="43"/>
    </row>
    <row r="173" spans="1:24" s="1" customFormat="1" ht="24" customHeight="1">
      <c r="A173" s="40" t="s">
        <v>289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1" t="s">
        <v>180</v>
      </c>
      <c r="M173" s="41"/>
      <c r="N173" s="41" t="s">
        <v>290</v>
      </c>
      <c r="O173" s="41"/>
      <c r="P173" s="42">
        <f>24000000</f>
        <v>24000000</v>
      </c>
      <c r="Q173" s="42"/>
      <c r="R173" s="42"/>
      <c r="S173" s="44" t="s">
        <v>41</v>
      </c>
      <c r="T173" s="44"/>
      <c r="U173" s="44"/>
      <c r="V173" s="44"/>
      <c r="W173" s="43">
        <f>24000000</f>
        <v>24000000</v>
      </c>
      <c r="X173" s="43"/>
    </row>
    <row r="174" spans="1:24" s="1" customFormat="1" ht="24" customHeight="1">
      <c r="A174" s="40" t="s">
        <v>291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1" t="s">
        <v>180</v>
      </c>
      <c r="M174" s="41"/>
      <c r="N174" s="41" t="s">
        <v>292</v>
      </c>
      <c r="O174" s="41"/>
      <c r="P174" s="42">
        <f>24000000</f>
        <v>24000000</v>
      </c>
      <c r="Q174" s="42"/>
      <c r="R174" s="42"/>
      <c r="S174" s="44" t="s">
        <v>41</v>
      </c>
      <c r="T174" s="44"/>
      <c r="U174" s="44"/>
      <c r="V174" s="44"/>
      <c r="W174" s="43">
        <f>24000000</f>
        <v>24000000</v>
      </c>
      <c r="X174" s="43"/>
    </row>
    <row r="175" spans="1:24" s="1" customFormat="1" ht="13.5" customHeight="1">
      <c r="A175" s="40" t="s">
        <v>207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1" t="s">
        <v>180</v>
      </c>
      <c r="M175" s="41"/>
      <c r="N175" s="41" t="s">
        <v>293</v>
      </c>
      <c r="O175" s="41"/>
      <c r="P175" s="42">
        <f>270723</f>
        <v>270723</v>
      </c>
      <c r="Q175" s="42"/>
      <c r="R175" s="42"/>
      <c r="S175" s="42">
        <f>270723</f>
        <v>270723</v>
      </c>
      <c r="T175" s="42"/>
      <c r="U175" s="42"/>
      <c r="V175" s="42"/>
      <c r="W175" s="43">
        <f>0</f>
        <v>0</v>
      </c>
      <c r="X175" s="43"/>
    </row>
    <row r="176" spans="1:24" s="1" customFormat="1" ht="13.5" customHeight="1">
      <c r="A176" s="40" t="s">
        <v>211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1" t="s">
        <v>180</v>
      </c>
      <c r="M176" s="41"/>
      <c r="N176" s="41" t="s">
        <v>294</v>
      </c>
      <c r="O176" s="41"/>
      <c r="P176" s="42">
        <f>270723</f>
        <v>270723</v>
      </c>
      <c r="Q176" s="42"/>
      <c r="R176" s="42"/>
      <c r="S176" s="42">
        <f>270723</f>
        <v>270723</v>
      </c>
      <c r="T176" s="42"/>
      <c r="U176" s="42"/>
      <c r="V176" s="42"/>
      <c r="W176" s="43">
        <f>0</f>
        <v>0</v>
      </c>
      <c r="X176" s="43"/>
    </row>
    <row r="177" spans="1:24" s="1" customFormat="1" ht="13.5" customHeight="1">
      <c r="A177" s="40" t="s">
        <v>295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1" t="s">
        <v>180</v>
      </c>
      <c r="M177" s="41"/>
      <c r="N177" s="41" t="s">
        <v>296</v>
      </c>
      <c r="O177" s="41"/>
      <c r="P177" s="42">
        <f>8055576.21</f>
        <v>8055576.21</v>
      </c>
      <c r="Q177" s="42"/>
      <c r="R177" s="42"/>
      <c r="S177" s="42">
        <f>6706874.94</f>
        <v>6706874.94</v>
      </c>
      <c r="T177" s="42"/>
      <c r="U177" s="42"/>
      <c r="V177" s="42"/>
      <c r="W177" s="43">
        <f>1348701.27</f>
        <v>1348701.27</v>
      </c>
      <c r="X177" s="43"/>
    </row>
    <row r="178" spans="1:24" s="1" customFormat="1" ht="24" customHeight="1">
      <c r="A178" s="40" t="s">
        <v>199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1" t="s">
        <v>180</v>
      </c>
      <c r="M178" s="41"/>
      <c r="N178" s="41" t="s">
        <v>297</v>
      </c>
      <c r="O178" s="41"/>
      <c r="P178" s="42">
        <f>8055576.21</f>
        <v>8055576.21</v>
      </c>
      <c r="Q178" s="42"/>
      <c r="R178" s="42"/>
      <c r="S178" s="42">
        <f>6706874.94</f>
        <v>6706874.94</v>
      </c>
      <c r="T178" s="42"/>
      <c r="U178" s="42"/>
      <c r="V178" s="42"/>
      <c r="W178" s="43">
        <f>1348701.27</f>
        <v>1348701.27</v>
      </c>
      <c r="X178" s="43"/>
    </row>
    <row r="179" spans="1:24" s="1" customFormat="1" ht="13.5" customHeight="1">
      <c r="A179" s="40" t="s">
        <v>203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1" t="s">
        <v>180</v>
      </c>
      <c r="M179" s="41"/>
      <c r="N179" s="41" t="s">
        <v>298</v>
      </c>
      <c r="O179" s="41"/>
      <c r="P179" s="42">
        <f>0</f>
        <v>0</v>
      </c>
      <c r="Q179" s="42"/>
      <c r="R179" s="42"/>
      <c r="S179" s="44" t="s">
        <v>41</v>
      </c>
      <c r="T179" s="44"/>
      <c r="U179" s="44"/>
      <c r="V179" s="44"/>
      <c r="W179" s="45" t="s">
        <v>41</v>
      </c>
      <c r="X179" s="45"/>
    </row>
    <row r="180" spans="1:24" s="1" customFormat="1" ht="13.5" customHeight="1">
      <c r="A180" s="40" t="s">
        <v>203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1" t="s">
        <v>180</v>
      </c>
      <c r="M180" s="41"/>
      <c r="N180" s="41" t="s">
        <v>299</v>
      </c>
      <c r="O180" s="41"/>
      <c r="P180" s="42">
        <f>4032000</f>
        <v>4032000</v>
      </c>
      <c r="Q180" s="42"/>
      <c r="R180" s="42"/>
      <c r="S180" s="42">
        <f>4032000</f>
        <v>4032000</v>
      </c>
      <c r="T180" s="42"/>
      <c r="U180" s="42"/>
      <c r="V180" s="42"/>
      <c r="W180" s="43">
        <f>0</f>
        <v>0</v>
      </c>
      <c r="X180" s="43"/>
    </row>
    <row r="181" spans="1:24" s="1" customFormat="1" ht="13.5" customHeight="1">
      <c r="A181" s="40" t="s">
        <v>203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1" t="s">
        <v>180</v>
      </c>
      <c r="M181" s="41"/>
      <c r="N181" s="41" t="s">
        <v>300</v>
      </c>
      <c r="O181" s="41"/>
      <c r="P181" s="42">
        <f>720000</f>
        <v>720000</v>
      </c>
      <c r="Q181" s="42"/>
      <c r="R181" s="42"/>
      <c r="S181" s="42">
        <f>360000</f>
        <v>360000</v>
      </c>
      <c r="T181" s="42"/>
      <c r="U181" s="42"/>
      <c r="V181" s="42"/>
      <c r="W181" s="43">
        <f>360000</f>
        <v>360000</v>
      </c>
      <c r="X181" s="43"/>
    </row>
    <row r="182" spans="1:24" s="1" customFormat="1" ht="13.5" customHeight="1">
      <c r="A182" s="40" t="s">
        <v>203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1" t="s">
        <v>180</v>
      </c>
      <c r="M182" s="41"/>
      <c r="N182" s="41" t="s">
        <v>301</v>
      </c>
      <c r="O182" s="41"/>
      <c r="P182" s="42">
        <f>300000</f>
        <v>300000</v>
      </c>
      <c r="Q182" s="42"/>
      <c r="R182" s="42"/>
      <c r="S182" s="44" t="s">
        <v>41</v>
      </c>
      <c r="T182" s="44"/>
      <c r="U182" s="44"/>
      <c r="V182" s="44"/>
      <c r="W182" s="43">
        <f>300000</f>
        <v>300000</v>
      </c>
      <c r="X182" s="43"/>
    </row>
    <row r="183" spans="1:24" s="1" customFormat="1" ht="13.5" customHeight="1">
      <c r="A183" s="40" t="s">
        <v>203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1" t="s">
        <v>180</v>
      </c>
      <c r="M183" s="41"/>
      <c r="N183" s="41" t="s">
        <v>302</v>
      </c>
      <c r="O183" s="41"/>
      <c r="P183" s="42">
        <f>348651.5</f>
        <v>348651.5</v>
      </c>
      <c r="Q183" s="42"/>
      <c r="R183" s="42"/>
      <c r="S183" s="42">
        <f>348651.5</f>
        <v>348651.5</v>
      </c>
      <c r="T183" s="42"/>
      <c r="U183" s="42"/>
      <c r="V183" s="42"/>
      <c r="W183" s="43">
        <f>0</f>
        <v>0</v>
      </c>
      <c r="X183" s="43"/>
    </row>
    <row r="184" spans="1:24" s="1" customFormat="1" ht="13.5" customHeight="1">
      <c r="A184" s="40" t="s">
        <v>203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1" t="s">
        <v>180</v>
      </c>
      <c r="M184" s="41"/>
      <c r="N184" s="41" t="s">
        <v>303</v>
      </c>
      <c r="O184" s="41"/>
      <c r="P184" s="42">
        <f>567631</f>
        <v>567631</v>
      </c>
      <c r="Q184" s="42"/>
      <c r="R184" s="42"/>
      <c r="S184" s="42">
        <f>567631</f>
        <v>567631</v>
      </c>
      <c r="T184" s="42"/>
      <c r="U184" s="42"/>
      <c r="V184" s="42"/>
      <c r="W184" s="43">
        <f>0</f>
        <v>0</v>
      </c>
      <c r="X184" s="43"/>
    </row>
    <row r="185" spans="1:24" s="1" customFormat="1" ht="13.5" customHeight="1">
      <c r="A185" s="40" t="s">
        <v>203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1" t="s">
        <v>180</v>
      </c>
      <c r="M185" s="41"/>
      <c r="N185" s="41" t="s">
        <v>304</v>
      </c>
      <c r="O185" s="41"/>
      <c r="P185" s="42">
        <f>90000</f>
        <v>90000</v>
      </c>
      <c r="Q185" s="42"/>
      <c r="R185" s="42"/>
      <c r="S185" s="42">
        <f>34492.25</f>
        <v>34492.25</v>
      </c>
      <c r="T185" s="42"/>
      <c r="U185" s="42"/>
      <c r="V185" s="42"/>
      <c r="W185" s="43">
        <f>55507.75</f>
        <v>55507.75</v>
      </c>
      <c r="X185" s="43"/>
    </row>
    <row r="186" spans="1:24" s="1" customFormat="1" ht="13.5" customHeight="1">
      <c r="A186" s="40" t="s">
        <v>203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1" t="s">
        <v>180</v>
      </c>
      <c r="M186" s="41"/>
      <c r="N186" s="41" t="s">
        <v>305</v>
      </c>
      <c r="O186" s="41"/>
      <c r="P186" s="42">
        <f>1371093.71</f>
        <v>1371093.71</v>
      </c>
      <c r="Q186" s="42"/>
      <c r="R186" s="42"/>
      <c r="S186" s="42">
        <f>809521.91</f>
        <v>809521.91</v>
      </c>
      <c r="T186" s="42"/>
      <c r="U186" s="42"/>
      <c r="V186" s="42"/>
      <c r="W186" s="43">
        <f>561571.8</f>
        <v>561571.8</v>
      </c>
      <c r="X186" s="43"/>
    </row>
    <row r="187" spans="1:24" s="1" customFormat="1" ht="13.5" customHeight="1">
      <c r="A187" s="40" t="s">
        <v>203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1" t="s">
        <v>180</v>
      </c>
      <c r="M187" s="41"/>
      <c r="N187" s="41" t="s">
        <v>306</v>
      </c>
      <c r="O187" s="41"/>
      <c r="P187" s="42">
        <f>341200</f>
        <v>341200</v>
      </c>
      <c r="Q187" s="42"/>
      <c r="R187" s="42"/>
      <c r="S187" s="42">
        <f>318980</f>
        <v>318980</v>
      </c>
      <c r="T187" s="42"/>
      <c r="U187" s="42"/>
      <c r="V187" s="42"/>
      <c r="W187" s="43">
        <f>22220</f>
        <v>22220</v>
      </c>
      <c r="X187" s="43"/>
    </row>
    <row r="188" spans="1:24" s="1" customFormat="1" ht="13.5" customHeight="1">
      <c r="A188" s="40" t="s">
        <v>203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1" t="s">
        <v>180</v>
      </c>
      <c r="M188" s="41"/>
      <c r="N188" s="41" t="s">
        <v>307</v>
      </c>
      <c r="O188" s="41"/>
      <c r="P188" s="42">
        <f>25000</f>
        <v>25000</v>
      </c>
      <c r="Q188" s="42"/>
      <c r="R188" s="42"/>
      <c r="S188" s="42">
        <f>12700</f>
        <v>12700</v>
      </c>
      <c r="T188" s="42"/>
      <c r="U188" s="42"/>
      <c r="V188" s="42"/>
      <c r="W188" s="43">
        <f>12300</f>
        <v>12300</v>
      </c>
      <c r="X188" s="43"/>
    </row>
    <row r="189" spans="1:24" s="1" customFormat="1" ht="13.5" customHeight="1">
      <c r="A189" s="40" t="s">
        <v>205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1" t="s">
        <v>180</v>
      </c>
      <c r="M189" s="41"/>
      <c r="N189" s="41" t="s">
        <v>308</v>
      </c>
      <c r="O189" s="41"/>
      <c r="P189" s="42">
        <f>260000</f>
        <v>260000</v>
      </c>
      <c r="Q189" s="42"/>
      <c r="R189" s="42"/>
      <c r="S189" s="42">
        <f>222898.28</f>
        <v>222898.28</v>
      </c>
      <c r="T189" s="42"/>
      <c r="U189" s="42"/>
      <c r="V189" s="42"/>
      <c r="W189" s="43">
        <f>37101.72</f>
        <v>37101.72</v>
      </c>
      <c r="X189" s="43"/>
    </row>
    <row r="190" spans="1:24" s="1" customFormat="1" ht="13.5" customHeight="1">
      <c r="A190" s="40" t="s">
        <v>309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1" t="s">
        <v>180</v>
      </c>
      <c r="M190" s="41"/>
      <c r="N190" s="41" t="s">
        <v>310</v>
      </c>
      <c r="O190" s="41"/>
      <c r="P190" s="42">
        <f>75000</f>
        <v>75000</v>
      </c>
      <c r="Q190" s="42"/>
      <c r="R190" s="42"/>
      <c r="S190" s="42">
        <f>36966.64</f>
        <v>36966.64</v>
      </c>
      <c r="T190" s="42"/>
      <c r="U190" s="42"/>
      <c r="V190" s="42"/>
      <c r="W190" s="43">
        <f>38033.36</f>
        <v>38033.36</v>
      </c>
      <c r="X190" s="43"/>
    </row>
    <row r="191" spans="1:24" s="1" customFormat="1" ht="24" customHeight="1">
      <c r="A191" s="40" t="s">
        <v>199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1" t="s">
        <v>180</v>
      </c>
      <c r="M191" s="41"/>
      <c r="N191" s="41" t="s">
        <v>311</v>
      </c>
      <c r="O191" s="41"/>
      <c r="P191" s="42">
        <f>75000</f>
        <v>75000</v>
      </c>
      <c r="Q191" s="42"/>
      <c r="R191" s="42"/>
      <c r="S191" s="42">
        <f>36966.64</f>
        <v>36966.64</v>
      </c>
      <c r="T191" s="42"/>
      <c r="U191" s="42"/>
      <c r="V191" s="42"/>
      <c r="W191" s="43">
        <f>38033.36</f>
        <v>38033.36</v>
      </c>
      <c r="X191" s="43"/>
    </row>
    <row r="192" spans="1:24" s="1" customFormat="1" ht="13.5" customHeight="1">
      <c r="A192" s="40" t="s">
        <v>203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1" t="s">
        <v>180</v>
      </c>
      <c r="M192" s="41"/>
      <c r="N192" s="41" t="s">
        <v>312</v>
      </c>
      <c r="O192" s="41"/>
      <c r="P192" s="42">
        <f>60000</f>
        <v>60000</v>
      </c>
      <c r="Q192" s="42"/>
      <c r="R192" s="42"/>
      <c r="S192" s="42">
        <f>36966.64</f>
        <v>36966.64</v>
      </c>
      <c r="T192" s="42"/>
      <c r="U192" s="42"/>
      <c r="V192" s="42"/>
      <c r="W192" s="43">
        <f>23033.36</f>
        <v>23033.36</v>
      </c>
      <c r="X192" s="43"/>
    </row>
    <row r="193" spans="1:24" s="1" customFormat="1" ht="13.5" customHeight="1">
      <c r="A193" s="40" t="s">
        <v>203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1" t="s">
        <v>180</v>
      </c>
      <c r="M193" s="41"/>
      <c r="N193" s="41" t="s">
        <v>313</v>
      </c>
      <c r="O193" s="41"/>
      <c r="P193" s="42">
        <f>15000</f>
        <v>15000</v>
      </c>
      <c r="Q193" s="42"/>
      <c r="R193" s="42"/>
      <c r="S193" s="44" t="s">
        <v>41</v>
      </c>
      <c r="T193" s="44"/>
      <c r="U193" s="44"/>
      <c r="V193" s="44"/>
      <c r="W193" s="43">
        <f>15000</f>
        <v>15000</v>
      </c>
      <c r="X193" s="43"/>
    </row>
    <row r="194" spans="1:24" s="1" customFormat="1" ht="13.5" customHeight="1">
      <c r="A194" s="40" t="s">
        <v>314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1" t="s">
        <v>180</v>
      </c>
      <c r="M194" s="41"/>
      <c r="N194" s="41" t="s">
        <v>315</v>
      </c>
      <c r="O194" s="41"/>
      <c r="P194" s="42">
        <f>19714148</f>
        <v>19714148</v>
      </c>
      <c r="Q194" s="42"/>
      <c r="R194" s="42"/>
      <c r="S194" s="42">
        <f>7709710.92</f>
        <v>7709710.92</v>
      </c>
      <c r="T194" s="42"/>
      <c r="U194" s="42"/>
      <c r="V194" s="42"/>
      <c r="W194" s="43">
        <f>12004437.08</f>
        <v>12004437.08</v>
      </c>
      <c r="X194" s="43"/>
    </row>
    <row r="195" spans="1:24" s="1" customFormat="1" ht="33.75" customHeight="1">
      <c r="A195" s="40" t="s">
        <v>183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1" t="s">
        <v>180</v>
      </c>
      <c r="M195" s="41"/>
      <c r="N195" s="41" t="s">
        <v>316</v>
      </c>
      <c r="O195" s="41"/>
      <c r="P195" s="42">
        <f>1768556</f>
        <v>1768556</v>
      </c>
      <c r="Q195" s="42"/>
      <c r="R195" s="42"/>
      <c r="S195" s="42">
        <f>1492416.93</f>
        <v>1492416.93</v>
      </c>
      <c r="T195" s="42"/>
      <c r="U195" s="42"/>
      <c r="V195" s="42"/>
      <c r="W195" s="43">
        <f>276139.07</f>
        <v>276139.07</v>
      </c>
      <c r="X195" s="43"/>
    </row>
    <row r="196" spans="1:24" s="1" customFormat="1" ht="13.5" customHeight="1">
      <c r="A196" s="40" t="s">
        <v>317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1" t="s">
        <v>180</v>
      </c>
      <c r="M196" s="41"/>
      <c r="N196" s="41" t="s">
        <v>318</v>
      </c>
      <c r="O196" s="41"/>
      <c r="P196" s="42">
        <f>1358610.27</f>
        <v>1358610.27</v>
      </c>
      <c r="Q196" s="42"/>
      <c r="R196" s="42"/>
      <c r="S196" s="42">
        <f>1153036.08</f>
        <v>1153036.08</v>
      </c>
      <c r="T196" s="42"/>
      <c r="U196" s="42"/>
      <c r="V196" s="42"/>
      <c r="W196" s="43">
        <f>205574.19</f>
        <v>205574.19</v>
      </c>
      <c r="X196" s="43"/>
    </row>
    <row r="197" spans="1:24" s="1" customFormat="1" ht="24" customHeight="1">
      <c r="A197" s="40" t="s">
        <v>319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1" t="s">
        <v>180</v>
      </c>
      <c r="M197" s="41"/>
      <c r="N197" s="41" t="s">
        <v>320</v>
      </c>
      <c r="O197" s="41"/>
      <c r="P197" s="42">
        <f>409945.73</f>
        <v>409945.73</v>
      </c>
      <c r="Q197" s="42"/>
      <c r="R197" s="42"/>
      <c r="S197" s="42">
        <f>339380.85</f>
        <v>339380.85</v>
      </c>
      <c r="T197" s="42"/>
      <c r="U197" s="42"/>
      <c r="V197" s="42"/>
      <c r="W197" s="43">
        <f>70564.88</f>
        <v>70564.88</v>
      </c>
      <c r="X197" s="43"/>
    </row>
    <row r="198" spans="1:24" s="1" customFormat="1" ht="24" customHeight="1">
      <c r="A198" s="40" t="s">
        <v>199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1" t="s">
        <v>180</v>
      </c>
      <c r="M198" s="41"/>
      <c r="N198" s="41" t="s">
        <v>321</v>
      </c>
      <c r="O198" s="41"/>
      <c r="P198" s="42">
        <f>17945592</f>
        <v>17945592</v>
      </c>
      <c r="Q198" s="42"/>
      <c r="R198" s="42"/>
      <c r="S198" s="42">
        <f>6217293.99</f>
        <v>6217293.99</v>
      </c>
      <c r="T198" s="42"/>
      <c r="U198" s="42"/>
      <c r="V198" s="42"/>
      <c r="W198" s="43">
        <f>11728298.01</f>
        <v>11728298.01</v>
      </c>
      <c r="X198" s="43"/>
    </row>
    <row r="199" spans="1:24" s="1" customFormat="1" ht="24" customHeight="1">
      <c r="A199" s="40" t="s">
        <v>322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1" t="s">
        <v>180</v>
      </c>
      <c r="M199" s="41"/>
      <c r="N199" s="41" t="s">
        <v>323</v>
      </c>
      <c r="O199" s="41"/>
      <c r="P199" s="42">
        <f>419990</f>
        <v>419990</v>
      </c>
      <c r="Q199" s="42"/>
      <c r="R199" s="42"/>
      <c r="S199" s="42">
        <f>419990</f>
        <v>419990</v>
      </c>
      <c r="T199" s="42"/>
      <c r="U199" s="42"/>
      <c r="V199" s="42"/>
      <c r="W199" s="43">
        <f>0</f>
        <v>0</v>
      </c>
      <c r="X199" s="43"/>
    </row>
    <row r="200" spans="1:24" s="1" customFormat="1" ht="24" customHeight="1">
      <c r="A200" s="40" t="s">
        <v>322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1" t="s">
        <v>180</v>
      </c>
      <c r="M200" s="41"/>
      <c r="N200" s="41" t="s">
        <v>324</v>
      </c>
      <c r="O200" s="41"/>
      <c r="P200" s="42">
        <f>15957400</f>
        <v>15957400</v>
      </c>
      <c r="Q200" s="42"/>
      <c r="R200" s="42"/>
      <c r="S200" s="42">
        <f>4784387.32</f>
        <v>4784387.32</v>
      </c>
      <c r="T200" s="42"/>
      <c r="U200" s="42"/>
      <c r="V200" s="42"/>
      <c r="W200" s="43">
        <f>11173012.68</f>
        <v>11173012.68</v>
      </c>
      <c r="X200" s="43"/>
    </row>
    <row r="201" spans="1:24" s="1" customFormat="1" ht="13.5" customHeight="1">
      <c r="A201" s="40" t="s">
        <v>203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1" t="s">
        <v>180</v>
      </c>
      <c r="M201" s="41"/>
      <c r="N201" s="41" t="s">
        <v>325</v>
      </c>
      <c r="O201" s="41"/>
      <c r="P201" s="42">
        <f>610069</f>
        <v>610069</v>
      </c>
      <c r="Q201" s="42"/>
      <c r="R201" s="42"/>
      <c r="S201" s="42">
        <f>310355.76</f>
        <v>310355.76</v>
      </c>
      <c r="T201" s="42"/>
      <c r="U201" s="42"/>
      <c r="V201" s="42"/>
      <c r="W201" s="43">
        <f>299713.24</f>
        <v>299713.24</v>
      </c>
      <c r="X201" s="43"/>
    </row>
    <row r="202" spans="1:24" s="1" customFormat="1" ht="13.5" customHeight="1">
      <c r="A202" s="40" t="s">
        <v>203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1" t="s">
        <v>180</v>
      </c>
      <c r="M202" s="41"/>
      <c r="N202" s="41" t="s">
        <v>326</v>
      </c>
      <c r="O202" s="41"/>
      <c r="P202" s="42">
        <f>350000</f>
        <v>350000</v>
      </c>
      <c r="Q202" s="42"/>
      <c r="R202" s="42"/>
      <c r="S202" s="42">
        <f>277100</f>
        <v>277100</v>
      </c>
      <c r="T202" s="42"/>
      <c r="U202" s="42"/>
      <c r="V202" s="42"/>
      <c r="W202" s="43">
        <f>72900</f>
        <v>72900</v>
      </c>
      <c r="X202" s="43"/>
    </row>
    <row r="203" spans="1:24" s="1" customFormat="1" ht="13.5" customHeight="1">
      <c r="A203" s="40" t="s">
        <v>205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1" t="s">
        <v>180</v>
      </c>
      <c r="M203" s="41"/>
      <c r="N203" s="41" t="s">
        <v>327</v>
      </c>
      <c r="O203" s="41"/>
      <c r="P203" s="42">
        <f>608133</f>
        <v>608133</v>
      </c>
      <c r="Q203" s="42"/>
      <c r="R203" s="42"/>
      <c r="S203" s="42">
        <f>425460.91</f>
        <v>425460.91</v>
      </c>
      <c r="T203" s="42"/>
      <c r="U203" s="42"/>
      <c r="V203" s="42"/>
      <c r="W203" s="43">
        <f>182672.09</f>
        <v>182672.09</v>
      </c>
      <c r="X203" s="43"/>
    </row>
    <row r="204" spans="1:24" s="1" customFormat="1" ht="13.5" customHeight="1">
      <c r="A204" s="40" t="s">
        <v>328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1" t="s">
        <v>180</v>
      </c>
      <c r="M204" s="41"/>
      <c r="N204" s="41" t="s">
        <v>329</v>
      </c>
      <c r="O204" s="41"/>
      <c r="P204" s="42">
        <f>177048</f>
        <v>177048</v>
      </c>
      <c r="Q204" s="42"/>
      <c r="R204" s="42"/>
      <c r="S204" s="42">
        <f>135317</f>
        <v>135317</v>
      </c>
      <c r="T204" s="42"/>
      <c r="U204" s="42"/>
      <c r="V204" s="42"/>
      <c r="W204" s="43">
        <f>41731</f>
        <v>41731</v>
      </c>
      <c r="X204" s="43"/>
    </row>
    <row r="205" spans="1:24" s="1" customFormat="1" ht="13.5" customHeight="1">
      <c r="A205" s="40" t="s">
        <v>330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1" t="s">
        <v>180</v>
      </c>
      <c r="M205" s="41"/>
      <c r="N205" s="41" t="s">
        <v>331</v>
      </c>
      <c r="O205" s="41"/>
      <c r="P205" s="42">
        <f>177048</f>
        <v>177048</v>
      </c>
      <c r="Q205" s="42"/>
      <c r="R205" s="42"/>
      <c r="S205" s="42">
        <f>135317</f>
        <v>135317</v>
      </c>
      <c r="T205" s="42"/>
      <c r="U205" s="42"/>
      <c r="V205" s="42"/>
      <c r="W205" s="43">
        <f>41731</f>
        <v>41731</v>
      </c>
      <c r="X205" s="43"/>
    </row>
    <row r="206" spans="1:24" s="1" customFormat="1" ht="24" customHeight="1">
      <c r="A206" s="40" t="s">
        <v>332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1" t="s">
        <v>180</v>
      </c>
      <c r="M206" s="41"/>
      <c r="N206" s="41" t="s">
        <v>333</v>
      </c>
      <c r="O206" s="41"/>
      <c r="P206" s="42">
        <f>177048</f>
        <v>177048</v>
      </c>
      <c r="Q206" s="42"/>
      <c r="R206" s="42"/>
      <c r="S206" s="42">
        <f>135317</f>
        <v>135317</v>
      </c>
      <c r="T206" s="42"/>
      <c r="U206" s="42"/>
      <c r="V206" s="42"/>
      <c r="W206" s="43">
        <f>41731</f>
        <v>41731</v>
      </c>
      <c r="X206" s="43"/>
    </row>
    <row r="207" spans="1:24" s="1" customFormat="1" ht="13.5" customHeight="1">
      <c r="A207" s="40" t="s">
        <v>334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1" t="s">
        <v>180</v>
      </c>
      <c r="M207" s="41"/>
      <c r="N207" s="41" t="s">
        <v>335</v>
      </c>
      <c r="O207" s="41"/>
      <c r="P207" s="42">
        <f>40000</f>
        <v>40000</v>
      </c>
      <c r="Q207" s="42"/>
      <c r="R207" s="42"/>
      <c r="S207" s="42">
        <f>40000</f>
        <v>40000</v>
      </c>
      <c r="T207" s="42"/>
      <c r="U207" s="42"/>
      <c r="V207" s="42"/>
      <c r="W207" s="43">
        <f>0</f>
        <v>0</v>
      </c>
      <c r="X207" s="43"/>
    </row>
    <row r="208" spans="1:24" s="1" customFormat="1" ht="13.5" customHeight="1">
      <c r="A208" s="40" t="s">
        <v>330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1" t="s">
        <v>180</v>
      </c>
      <c r="M208" s="41"/>
      <c r="N208" s="41" t="s">
        <v>336</v>
      </c>
      <c r="O208" s="41"/>
      <c r="P208" s="42">
        <f>40000</f>
        <v>40000</v>
      </c>
      <c r="Q208" s="42"/>
      <c r="R208" s="42"/>
      <c r="S208" s="42">
        <f>40000</f>
        <v>40000</v>
      </c>
      <c r="T208" s="42"/>
      <c r="U208" s="42"/>
      <c r="V208" s="42"/>
      <c r="W208" s="43">
        <f>0</f>
        <v>0</v>
      </c>
      <c r="X208" s="43"/>
    </row>
    <row r="209" spans="1:24" s="1" customFormat="1" ht="13.5" customHeight="1">
      <c r="A209" s="40" t="s">
        <v>337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1" t="s">
        <v>180</v>
      </c>
      <c r="M209" s="41"/>
      <c r="N209" s="41" t="s">
        <v>338</v>
      </c>
      <c r="O209" s="41"/>
      <c r="P209" s="42">
        <f>40000</f>
        <v>40000</v>
      </c>
      <c r="Q209" s="42"/>
      <c r="R209" s="42"/>
      <c r="S209" s="42">
        <f>40000</f>
        <v>40000</v>
      </c>
      <c r="T209" s="42"/>
      <c r="U209" s="42"/>
      <c r="V209" s="42"/>
      <c r="W209" s="43">
        <f>0</f>
        <v>0</v>
      </c>
      <c r="X209" s="43"/>
    </row>
    <row r="210" spans="1:24" s="1" customFormat="1" ht="13.5" customHeight="1">
      <c r="A210" s="40" t="s">
        <v>339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1" t="s">
        <v>180</v>
      </c>
      <c r="M210" s="41"/>
      <c r="N210" s="41" t="s">
        <v>340</v>
      </c>
      <c r="O210" s="41"/>
      <c r="P210" s="42">
        <f>1692089.58</f>
        <v>1692089.58</v>
      </c>
      <c r="Q210" s="42"/>
      <c r="R210" s="42"/>
      <c r="S210" s="42">
        <f>876402.45</f>
        <v>876402.45</v>
      </c>
      <c r="T210" s="42"/>
      <c r="U210" s="42"/>
      <c r="V210" s="42"/>
      <c r="W210" s="43">
        <f>815687.13</f>
        <v>815687.13</v>
      </c>
      <c r="X210" s="43"/>
    </row>
    <row r="211" spans="1:24" s="1" customFormat="1" ht="13.5" customHeight="1">
      <c r="A211" s="40" t="s">
        <v>341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1" t="s">
        <v>180</v>
      </c>
      <c r="M211" s="41"/>
      <c r="N211" s="41" t="s">
        <v>342</v>
      </c>
      <c r="O211" s="41"/>
      <c r="P211" s="42">
        <f>1692089.58</f>
        <v>1692089.58</v>
      </c>
      <c r="Q211" s="42"/>
      <c r="R211" s="42"/>
      <c r="S211" s="42">
        <f>876402.45</f>
        <v>876402.45</v>
      </c>
      <c r="T211" s="42"/>
      <c r="U211" s="42"/>
      <c r="V211" s="42"/>
      <c r="W211" s="43">
        <f>815687.13</f>
        <v>815687.13</v>
      </c>
      <c r="X211" s="43"/>
    </row>
    <row r="212" spans="1:24" s="1" customFormat="1" ht="13.5" customHeight="1">
      <c r="A212" s="40" t="s">
        <v>168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1" t="s">
        <v>180</v>
      </c>
      <c r="M212" s="41"/>
      <c r="N212" s="41" t="s">
        <v>343</v>
      </c>
      <c r="O212" s="41"/>
      <c r="P212" s="42">
        <f>390596.14</f>
        <v>390596.14</v>
      </c>
      <c r="Q212" s="42"/>
      <c r="R212" s="42"/>
      <c r="S212" s="42">
        <f>260397.36</f>
        <v>260397.36</v>
      </c>
      <c r="T212" s="42"/>
      <c r="U212" s="42"/>
      <c r="V212" s="42"/>
      <c r="W212" s="43">
        <f>130198.78</f>
        <v>130198.78</v>
      </c>
      <c r="X212" s="43"/>
    </row>
    <row r="213" spans="1:24" s="1" customFormat="1" ht="13.5" customHeight="1">
      <c r="A213" s="40" t="s">
        <v>168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1" t="s">
        <v>180</v>
      </c>
      <c r="M213" s="41"/>
      <c r="N213" s="41" t="s">
        <v>344</v>
      </c>
      <c r="O213" s="41"/>
      <c r="P213" s="42">
        <f>0</f>
        <v>0</v>
      </c>
      <c r="Q213" s="42"/>
      <c r="R213" s="42"/>
      <c r="S213" s="44" t="s">
        <v>41</v>
      </c>
      <c r="T213" s="44"/>
      <c r="U213" s="44"/>
      <c r="V213" s="44"/>
      <c r="W213" s="45" t="s">
        <v>41</v>
      </c>
      <c r="X213" s="45"/>
    </row>
    <row r="214" spans="1:24" s="1" customFormat="1" ht="13.5" customHeight="1">
      <c r="A214" s="40" t="s">
        <v>168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1" t="s">
        <v>180</v>
      </c>
      <c r="M214" s="41"/>
      <c r="N214" s="41" t="s">
        <v>345</v>
      </c>
      <c r="O214" s="41"/>
      <c r="P214" s="42">
        <f>127913.6</f>
        <v>127913.6</v>
      </c>
      <c r="Q214" s="42"/>
      <c r="R214" s="42"/>
      <c r="S214" s="42">
        <f>74616.22</f>
        <v>74616.22</v>
      </c>
      <c r="T214" s="42"/>
      <c r="U214" s="42"/>
      <c r="V214" s="42"/>
      <c r="W214" s="43">
        <f>53297.38</f>
        <v>53297.38</v>
      </c>
      <c r="X214" s="43"/>
    </row>
    <row r="215" spans="1:24" s="1" customFormat="1" ht="13.5" customHeight="1">
      <c r="A215" s="40" t="s">
        <v>168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1" t="s">
        <v>180</v>
      </c>
      <c r="M215" s="41"/>
      <c r="N215" s="41" t="s">
        <v>346</v>
      </c>
      <c r="O215" s="41"/>
      <c r="P215" s="42">
        <f>991975.7</f>
        <v>991975.7</v>
      </c>
      <c r="Q215" s="42"/>
      <c r="R215" s="42"/>
      <c r="S215" s="42">
        <f>495987.84</f>
        <v>495987.84</v>
      </c>
      <c r="T215" s="42"/>
      <c r="U215" s="42"/>
      <c r="V215" s="42"/>
      <c r="W215" s="43">
        <f>495987.86</f>
        <v>495987.86</v>
      </c>
      <c r="X215" s="43"/>
    </row>
    <row r="216" spans="1:24" s="1" customFormat="1" ht="13.5" customHeight="1" thickBot="1">
      <c r="A216" s="40" t="s">
        <v>168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1" t="s">
        <v>180</v>
      </c>
      <c r="M216" s="41"/>
      <c r="N216" s="41" t="s">
        <v>347</v>
      </c>
      <c r="O216" s="41"/>
      <c r="P216" s="42">
        <f>181604.14</f>
        <v>181604.14</v>
      </c>
      <c r="Q216" s="42"/>
      <c r="R216" s="42"/>
      <c r="S216" s="42">
        <f>45401.03</f>
        <v>45401.03</v>
      </c>
      <c r="T216" s="42"/>
      <c r="U216" s="42"/>
      <c r="V216" s="42"/>
      <c r="W216" s="43">
        <f>136203.11</f>
        <v>136203.11</v>
      </c>
      <c r="X216" s="43"/>
    </row>
    <row r="217" spans="1:24" s="1" customFormat="1" ht="15" customHeight="1" thickBot="1">
      <c r="A217" s="46" t="s">
        <v>348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7" t="s">
        <v>349</v>
      </c>
      <c r="M217" s="47"/>
      <c r="N217" s="47" t="s">
        <v>26</v>
      </c>
      <c r="O217" s="47"/>
      <c r="P217" s="48">
        <f>-5314669.31</f>
        <v>-5314669.31</v>
      </c>
      <c r="Q217" s="48"/>
      <c r="R217" s="48"/>
      <c r="S217" s="48">
        <f>-2722844.14</f>
        <v>-2722844.14</v>
      </c>
      <c r="T217" s="48"/>
      <c r="U217" s="48"/>
      <c r="V217" s="48"/>
      <c r="W217" s="49" t="s">
        <v>26</v>
      </c>
      <c r="X217" s="49"/>
    </row>
    <row r="218" spans="1:24" s="1" customFormat="1" ht="13.5" customHeight="1" thickBot="1">
      <c r="A218" s="33" t="s">
        <v>350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5"/>
    </row>
    <row r="219" spans="1:24" s="1" customFormat="1" ht="13.5" customHeight="1" thickBot="1">
      <c r="A219" s="36" t="s">
        <v>351</v>
      </c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7" t="s">
        <v>352</v>
      </c>
      <c r="M219" s="37"/>
      <c r="N219" s="37" t="s">
        <v>26</v>
      </c>
      <c r="O219" s="37"/>
      <c r="P219" s="50">
        <f>5314669.31</f>
        <v>5314669.31</v>
      </c>
      <c r="Q219" s="50"/>
      <c r="R219" s="50"/>
      <c r="S219" s="38">
        <f>2722844.14</f>
        <v>2722844.14</v>
      </c>
      <c r="T219" s="38"/>
      <c r="U219" s="38"/>
      <c r="V219" s="38"/>
      <c r="W219" s="51" t="s">
        <v>26</v>
      </c>
      <c r="X219" s="51"/>
    </row>
    <row r="220" spans="1:24" s="1" customFormat="1" ht="13.5" customHeight="1">
      <c r="A220" s="52" t="s">
        <v>353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3" t="s">
        <v>4</v>
      </c>
      <c r="M220" s="53"/>
      <c r="N220" s="53" t="s">
        <v>4</v>
      </c>
      <c r="O220" s="53"/>
      <c r="P220" s="54" t="s">
        <v>4</v>
      </c>
      <c r="Q220" s="54"/>
      <c r="R220" s="54"/>
      <c r="S220" s="55" t="s">
        <v>4</v>
      </c>
      <c r="T220" s="55"/>
      <c r="U220" s="55"/>
      <c r="V220" s="55"/>
      <c r="W220" s="56" t="s">
        <v>4</v>
      </c>
      <c r="X220" s="56"/>
    </row>
    <row r="221" spans="1:24" s="1" customFormat="1" ht="13.5" customHeight="1">
      <c r="A221" s="22" t="s">
        <v>354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9" t="s">
        <v>355</v>
      </c>
      <c r="M221" s="29"/>
      <c r="N221" s="23" t="s">
        <v>26</v>
      </c>
      <c r="O221" s="23"/>
      <c r="P221" s="57">
        <f>1160000</f>
        <v>1160000</v>
      </c>
      <c r="Q221" s="57"/>
      <c r="R221" s="57"/>
      <c r="S221" s="26" t="s">
        <v>41</v>
      </c>
      <c r="T221" s="26"/>
      <c r="U221" s="26"/>
      <c r="V221" s="26"/>
      <c r="W221" s="58">
        <f>1160000</f>
        <v>1160000</v>
      </c>
      <c r="X221" s="58"/>
    </row>
    <row r="222" spans="1:24" s="1" customFormat="1" ht="13.5" customHeight="1">
      <c r="A222" s="40" t="s">
        <v>356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1" t="s">
        <v>355</v>
      </c>
      <c r="M222" s="41"/>
      <c r="N222" s="41" t="s">
        <v>357</v>
      </c>
      <c r="O222" s="41"/>
      <c r="P222" s="59">
        <f>1160000</f>
        <v>1160000</v>
      </c>
      <c r="Q222" s="59"/>
      <c r="R222" s="59"/>
      <c r="S222" s="44" t="s">
        <v>41</v>
      </c>
      <c r="T222" s="44"/>
      <c r="U222" s="44"/>
      <c r="V222" s="44"/>
      <c r="W222" s="60">
        <f>1160000</f>
        <v>1160000</v>
      </c>
      <c r="X222" s="60"/>
    </row>
    <row r="223" spans="1:24" s="1" customFormat="1" ht="13.5" customHeight="1">
      <c r="A223" s="40" t="s">
        <v>358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1" t="s">
        <v>355</v>
      </c>
      <c r="M223" s="41"/>
      <c r="N223" s="41" t="s">
        <v>359</v>
      </c>
      <c r="O223" s="41"/>
      <c r="P223" s="59">
        <f>1160000</f>
        <v>1160000</v>
      </c>
      <c r="Q223" s="59"/>
      <c r="R223" s="59"/>
      <c r="S223" s="44" t="s">
        <v>41</v>
      </c>
      <c r="T223" s="44"/>
      <c r="U223" s="44"/>
      <c r="V223" s="44"/>
      <c r="W223" s="60">
        <f>1160000</f>
        <v>1160000</v>
      </c>
      <c r="X223" s="60"/>
    </row>
    <row r="224" spans="1:24" s="1" customFormat="1" ht="24" customHeight="1">
      <c r="A224" s="40" t="s">
        <v>360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1" t="s">
        <v>355</v>
      </c>
      <c r="M224" s="41"/>
      <c r="N224" s="41" t="s">
        <v>361</v>
      </c>
      <c r="O224" s="41"/>
      <c r="P224" s="59">
        <f>1160000</f>
        <v>1160000</v>
      </c>
      <c r="Q224" s="59"/>
      <c r="R224" s="59"/>
      <c r="S224" s="44" t="s">
        <v>41</v>
      </c>
      <c r="T224" s="44"/>
      <c r="U224" s="44"/>
      <c r="V224" s="44"/>
      <c r="W224" s="60">
        <f>1160000</f>
        <v>1160000</v>
      </c>
      <c r="X224" s="60"/>
    </row>
    <row r="225" spans="1:24" s="1" customFormat="1" ht="24" customHeight="1">
      <c r="A225" s="40" t="s">
        <v>362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1" t="s">
        <v>355</v>
      </c>
      <c r="M225" s="41"/>
      <c r="N225" s="41" t="s">
        <v>363</v>
      </c>
      <c r="O225" s="41"/>
      <c r="P225" s="59">
        <f>1160000</f>
        <v>1160000</v>
      </c>
      <c r="Q225" s="59"/>
      <c r="R225" s="59"/>
      <c r="S225" s="44" t="s">
        <v>41</v>
      </c>
      <c r="T225" s="44"/>
      <c r="U225" s="44"/>
      <c r="V225" s="44"/>
      <c r="W225" s="60">
        <f>1160000</f>
        <v>1160000</v>
      </c>
      <c r="X225" s="60"/>
    </row>
    <row r="226" spans="1:24" s="1" customFormat="1" ht="13.5" customHeight="1">
      <c r="A226" s="40" t="s">
        <v>364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53" t="s">
        <v>365</v>
      </c>
      <c r="M226" s="53"/>
      <c r="N226" s="53" t="s">
        <v>26</v>
      </c>
      <c r="O226" s="53"/>
      <c r="P226" s="54" t="s">
        <v>41</v>
      </c>
      <c r="Q226" s="54"/>
      <c r="R226" s="54"/>
      <c r="S226" s="44" t="s">
        <v>41</v>
      </c>
      <c r="T226" s="44"/>
      <c r="U226" s="44"/>
      <c r="V226" s="44"/>
      <c r="W226" s="56" t="s">
        <v>41</v>
      </c>
      <c r="X226" s="56"/>
    </row>
    <row r="227" spans="1:24" s="1" customFormat="1" ht="13.5" customHeight="1">
      <c r="A227" s="40" t="s">
        <v>4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1" t="s">
        <v>365</v>
      </c>
      <c r="M227" s="41"/>
      <c r="N227" s="41" t="s">
        <v>4</v>
      </c>
      <c r="O227" s="41"/>
      <c r="P227" s="61" t="s">
        <v>41</v>
      </c>
      <c r="Q227" s="61"/>
      <c r="R227" s="61"/>
      <c r="S227" s="44" t="s">
        <v>41</v>
      </c>
      <c r="T227" s="44"/>
      <c r="U227" s="44"/>
      <c r="V227" s="44"/>
      <c r="W227" s="62" t="s">
        <v>41</v>
      </c>
      <c r="X227" s="62"/>
    </row>
    <row r="228" spans="1:24" s="1" customFormat="1" ht="13.5" customHeight="1">
      <c r="A228" s="40" t="s">
        <v>366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1" t="s">
        <v>367</v>
      </c>
      <c r="M228" s="41"/>
      <c r="N228" s="41" t="s">
        <v>368</v>
      </c>
      <c r="O228" s="41"/>
      <c r="P228" s="59">
        <f>4154669.31</f>
        <v>4154669.31</v>
      </c>
      <c r="Q228" s="59"/>
      <c r="R228" s="59"/>
      <c r="S228" s="42">
        <f>2722844.14</f>
        <v>2722844.14</v>
      </c>
      <c r="T228" s="42"/>
      <c r="U228" s="42"/>
      <c r="V228" s="42"/>
      <c r="W228" s="60">
        <f>1431825.17</f>
        <v>1431825.17</v>
      </c>
      <c r="X228" s="60"/>
    </row>
    <row r="229" spans="1:24" s="1" customFormat="1" ht="13.5" customHeight="1">
      <c r="A229" s="40" t="s">
        <v>369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1" t="s">
        <v>370</v>
      </c>
      <c r="M229" s="41"/>
      <c r="N229" s="41" t="s">
        <v>371</v>
      </c>
      <c r="O229" s="41"/>
      <c r="P229" s="59">
        <f>-85743635.67</f>
        <v>-85743635.67</v>
      </c>
      <c r="Q229" s="59"/>
      <c r="R229" s="59"/>
      <c r="S229" s="42">
        <f>-37544078.3</f>
        <v>-37544078.3</v>
      </c>
      <c r="T229" s="42"/>
      <c r="U229" s="42"/>
      <c r="V229" s="42"/>
      <c r="W229" s="63" t="s">
        <v>26</v>
      </c>
      <c r="X229" s="63"/>
    </row>
    <row r="230" spans="1:24" s="1" customFormat="1" ht="13.5" customHeight="1">
      <c r="A230" s="40" t="s">
        <v>372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1" t="s">
        <v>370</v>
      </c>
      <c r="M230" s="41"/>
      <c r="N230" s="41" t="s">
        <v>373</v>
      </c>
      <c r="O230" s="41"/>
      <c r="P230" s="59">
        <f>-85743635.67</f>
        <v>-85743635.67</v>
      </c>
      <c r="Q230" s="59"/>
      <c r="R230" s="59"/>
      <c r="S230" s="42">
        <f>-37544078.3</f>
        <v>-37544078.3</v>
      </c>
      <c r="T230" s="42"/>
      <c r="U230" s="42"/>
      <c r="V230" s="42"/>
      <c r="W230" s="63" t="s">
        <v>26</v>
      </c>
      <c r="X230" s="63"/>
    </row>
    <row r="231" spans="1:24" s="1" customFormat="1" ht="13.5" customHeight="1">
      <c r="A231" s="40" t="s">
        <v>374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1" t="s">
        <v>370</v>
      </c>
      <c r="M231" s="41"/>
      <c r="N231" s="41" t="s">
        <v>375</v>
      </c>
      <c r="O231" s="41"/>
      <c r="P231" s="59">
        <f>-85743635.67</f>
        <v>-85743635.67</v>
      </c>
      <c r="Q231" s="59"/>
      <c r="R231" s="59"/>
      <c r="S231" s="42">
        <f>-37544078.3</f>
        <v>-37544078.3</v>
      </c>
      <c r="T231" s="42"/>
      <c r="U231" s="42"/>
      <c r="V231" s="42"/>
      <c r="W231" s="63" t="s">
        <v>26</v>
      </c>
      <c r="X231" s="63"/>
    </row>
    <row r="232" spans="1:24" s="1" customFormat="1" ht="13.5" customHeight="1">
      <c r="A232" s="40" t="s">
        <v>376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1" t="s">
        <v>370</v>
      </c>
      <c r="M232" s="41"/>
      <c r="N232" s="41" t="s">
        <v>377</v>
      </c>
      <c r="O232" s="41"/>
      <c r="P232" s="59">
        <f>-85743635.67</f>
        <v>-85743635.67</v>
      </c>
      <c r="Q232" s="59"/>
      <c r="R232" s="59"/>
      <c r="S232" s="42">
        <f>-37544078.3</f>
        <v>-37544078.3</v>
      </c>
      <c r="T232" s="42"/>
      <c r="U232" s="42"/>
      <c r="V232" s="42"/>
      <c r="W232" s="63" t="s">
        <v>26</v>
      </c>
      <c r="X232" s="63"/>
    </row>
    <row r="233" spans="1:24" s="1" customFormat="1" ht="13.5" customHeight="1">
      <c r="A233" s="40" t="s">
        <v>378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1" t="s">
        <v>379</v>
      </c>
      <c r="M233" s="41"/>
      <c r="N233" s="41" t="s">
        <v>380</v>
      </c>
      <c r="O233" s="41"/>
      <c r="P233" s="59">
        <f>89898304.98</f>
        <v>89898304.98</v>
      </c>
      <c r="Q233" s="59"/>
      <c r="R233" s="59"/>
      <c r="S233" s="42">
        <f>40266922.44</f>
        <v>40266922.44</v>
      </c>
      <c r="T233" s="42"/>
      <c r="U233" s="42"/>
      <c r="V233" s="42"/>
      <c r="W233" s="63" t="s">
        <v>26</v>
      </c>
      <c r="X233" s="63"/>
    </row>
    <row r="234" spans="1:24" s="1" customFormat="1" ht="13.5" customHeight="1">
      <c r="A234" s="40" t="s">
        <v>381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1" t="s">
        <v>379</v>
      </c>
      <c r="M234" s="41"/>
      <c r="N234" s="41" t="s">
        <v>382</v>
      </c>
      <c r="O234" s="41"/>
      <c r="P234" s="59">
        <f>89898304.98</f>
        <v>89898304.98</v>
      </c>
      <c r="Q234" s="59"/>
      <c r="R234" s="59"/>
      <c r="S234" s="42">
        <f>40266922.44</f>
        <v>40266922.44</v>
      </c>
      <c r="T234" s="42"/>
      <c r="U234" s="42"/>
      <c r="V234" s="42"/>
      <c r="W234" s="63" t="s">
        <v>26</v>
      </c>
      <c r="X234" s="63"/>
    </row>
    <row r="235" spans="1:24" s="1" customFormat="1" ht="13.5" customHeight="1">
      <c r="A235" s="40" t="s">
        <v>383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1" t="s">
        <v>379</v>
      </c>
      <c r="M235" s="41"/>
      <c r="N235" s="41" t="s">
        <v>384</v>
      </c>
      <c r="O235" s="41"/>
      <c r="P235" s="59">
        <f>89898304.98</f>
        <v>89898304.98</v>
      </c>
      <c r="Q235" s="59"/>
      <c r="R235" s="59"/>
      <c r="S235" s="42">
        <f>40266922.44</f>
        <v>40266922.44</v>
      </c>
      <c r="T235" s="42"/>
      <c r="U235" s="42"/>
      <c r="V235" s="42"/>
      <c r="W235" s="63" t="s">
        <v>26</v>
      </c>
      <c r="X235" s="63"/>
    </row>
    <row r="236" spans="1:24" s="1" customFormat="1" ht="24" customHeight="1">
      <c r="A236" s="40" t="s">
        <v>385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1" t="s">
        <v>379</v>
      </c>
      <c r="M236" s="41"/>
      <c r="N236" s="41" t="s">
        <v>386</v>
      </c>
      <c r="O236" s="41"/>
      <c r="P236" s="59">
        <f>89898304.98</f>
        <v>89898304.98</v>
      </c>
      <c r="Q236" s="59"/>
      <c r="R236" s="59"/>
      <c r="S236" s="42">
        <f>40266922.44</f>
        <v>40266922.44</v>
      </c>
      <c r="T236" s="42"/>
      <c r="U236" s="42"/>
      <c r="V236" s="42"/>
      <c r="W236" s="63" t="s">
        <v>26</v>
      </c>
      <c r="X236" s="63"/>
    </row>
    <row r="237" spans="1:24" s="1" customFormat="1" ht="13.5" customHeight="1">
      <c r="A237" s="64" t="s">
        <v>4</v>
      </c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</row>
  </sheetData>
  <sheetProtection/>
  <mergeCells count="1358">
    <mergeCell ref="A237:X237"/>
    <mergeCell ref="A236:K236"/>
    <mergeCell ref="L236:M236"/>
    <mergeCell ref="N236:O236"/>
    <mergeCell ref="P236:R236"/>
    <mergeCell ref="S236:V236"/>
    <mergeCell ref="W236:X236"/>
    <mergeCell ref="A235:K235"/>
    <mergeCell ref="L235:M235"/>
    <mergeCell ref="N235:O235"/>
    <mergeCell ref="P235:R235"/>
    <mergeCell ref="S235:V235"/>
    <mergeCell ref="W235:X235"/>
    <mergeCell ref="A234:K234"/>
    <mergeCell ref="L234:M234"/>
    <mergeCell ref="N234:O234"/>
    <mergeCell ref="P234:R234"/>
    <mergeCell ref="S234:V234"/>
    <mergeCell ref="W234:X234"/>
    <mergeCell ref="A233:K233"/>
    <mergeCell ref="L233:M233"/>
    <mergeCell ref="N233:O233"/>
    <mergeCell ref="P233:R233"/>
    <mergeCell ref="S233:V233"/>
    <mergeCell ref="W233:X233"/>
    <mergeCell ref="A232:K232"/>
    <mergeCell ref="L232:M232"/>
    <mergeCell ref="N232:O232"/>
    <mergeCell ref="P232:R232"/>
    <mergeCell ref="S232:V232"/>
    <mergeCell ref="W232:X232"/>
    <mergeCell ref="A231:K231"/>
    <mergeCell ref="L231:M231"/>
    <mergeCell ref="N231:O231"/>
    <mergeCell ref="P231:R231"/>
    <mergeCell ref="S231:V231"/>
    <mergeCell ref="W231:X231"/>
    <mergeCell ref="A230:K230"/>
    <mergeCell ref="L230:M230"/>
    <mergeCell ref="N230:O230"/>
    <mergeCell ref="P230:R230"/>
    <mergeCell ref="S230:V230"/>
    <mergeCell ref="W230:X230"/>
    <mergeCell ref="A229:K229"/>
    <mergeCell ref="L229:M229"/>
    <mergeCell ref="N229:O229"/>
    <mergeCell ref="P229:R229"/>
    <mergeCell ref="S229:V229"/>
    <mergeCell ref="W229:X229"/>
    <mergeCell ref="A228:K228"/>
    <mergeCell ref="L228:M228"/>
    <mergeCell ref="N228:O228"/>
    <mergeCell ref="P228:R228"/>
    <mergeCell ref="S228:V228"/>
    <mergeCell ref="W228:X228"/>
    <mergeCell ref="A227:K227"/>
    <mergeCell ref="L227:M227"/>
    <mergeCell ref="N227:O227"/>
    <mergeCell ref="P227:R227"/>
    <mergeCell ref="S227:V227"/>
    <mergeCell ref="W227:X227"/>
    <mergeCell ref="A226:K226"/>
    <mergeCell ref="L226:M226"/>
    <mergeCell ref="N226:O226"/>
    <mergeCell ref="P226:R226"/>
    <mergeCell ref="S226:V226"/>
    <mergeCell ref="W226:X226"/>
    <mergeCell ref="A225:K225"/>
    <mergeCell ref="L225:M225"/>
    <mergeCell ref="N225:O225"/>
    <mergeCell ref="P225:R225"/>
    <mergeCell ref="S225:V225"/>
    <mergeCell ref="W225:X225"/>
    <mergeCell ref="A224:K224"/>
    <mergeCell ref="L224:M224"/>
    <mergeCell ref="N224:O224"/>
    <mergeCell ref="P224:R224"/>
    <mergeCell ref="S224:V224"/>
    <mergeCell ref="W224:X224"/>
    <mergeCell ref="A223:K223"/>
    <mergeCell ref="L223:M223"/>
    <mergeCell ref="N223:O223"/>
    <mergeCell ref="P223:R223"/>
    <mergeCell ref="S223:V223"/>
    <mergeCell ref="W223:X223"/>
    <mergeCell ref="A222:K222"/>
    <mergeCell ref="L222:M222"/>
    <mergeCell ref="N222:O222"/>
    <mergeCell ref="P222:R222"/>
    <mergeCell ref="S222:V222"/>
    <mergeCell ref="W222:X222"/>
    <mergeCell ref="A221:K221"/>
    <mergeCell ref="L221:M221"/>
    <mergeCell ref="N221:O221"/>
    <mergeCell ref="P221:R221"/>
    <mergeCell ref="S221:V221"/>
    <mergeCell ref="W221:X221"/>
    <mergeCell ref="A220:K220"/>
    <mergeCell ref="L220:M220"/>
    <mergeCell ref="N220:O220"/>
    <mergeCell ref="P220:R220"/>
    <mergeCell ref="S220:V220"/>
    <mergeCell ref="W220:X220"/>
    <mergeCell ref="A218:X218"/>
    <mergeCell ref="A219:K219"/>
    <mergeCell ref="L219:M219"/>
    <mergeCell ref="N219:O219"/>
    <mergeCell ref="P219:R219"/>
    <mergeCell ref="S219:V219"/>
    <mergeCell ref="W219:X219"/>
    <mergeCell ref="A217:K217"/>
    <mergeCell ref="L217:M217"/>
    <mergeCell ref="N217:O217"/>
    <mergeCell ref="P217:R217"/>
    <mergeCell ref="S217:V217"/>
    <mergeCell ref="W217:X217"/>
    <mergeCell ref="A216:K216"/>
    <mergeCell ref="L216:M216"/>
    <mergeCell ref="N216:O216"/>
    <mergeCell ref="P216:R216"/>
    <mergeCell ref="S216:V216"/>
    <mergeCell ref="W216:X216"/>
    <mergeCell ref="A215:K215"/>
    <mergeCell ref="L215:M215"/>
    <mergeCell ref="N215:O215"/>
    <mergeCell ref="P215:R215"/>
    <mergeCell ref="S215:V215"/>
    <mergeCell ref="W215:X215"/>
    <mergeCell ref="A214:K214"/>
    <mergeCell ref="L214:M214"/>
    <mergeCell ref="N214:O214"/>
    <mergeCell ref="P214:R214"/>
    <mergeCell ref="S214:V214"/>
    <mergeCell ref="W214:X214"/>
    <mergeCell ref="A213:K213"/>
    <mergeCell ref="L213:M213"/>
    <mergeCell ref="N213:O213"/>
    <mergeCell ref="P213:R213"/>
    <mergeCell ref="S213:V213"/>
    <mergeCell ref="W213:X213"/>
    <mergeCell ref="A212:K212"/>
    <mergeCell ref="L212:M212"/>
    <mergeCell ref="N212:O212"/>
    <mergeCell ref="P212:R212"/>
    <mergeCell ref="S212:V212"/>
    <mergeCell ref="W212:X212"/>
    <mergeCell ref="A211:K211"/>
    <mergeCell ref="L211:M211"/>
    <mergeCell ref="N211:O211"/>
    <mergeCell ref="P211:R211"/>
    <mergeCell ref="S211:V211"/>
    <mergeCell ref="W211:X211"/>
    <mergeCell ref="A210:K210"/>
    <mergeCell ref="L210:M210"/>
    <mergeCell ref="N210:O210"/>
    <mergeCell ref="P210:R210"/>
    <mergeCell ref="S210:V210"/>
    <mergeCell ref="W210:X210"/>
    <mergeCell ref="A209:K209"/>
    <mergeCell ref="L209:M209"/>
    <mergeCell ref="N209:O209"/>
    <mergeCell ref="P209:R209"/>
    <mergeCell ref="S209:V209"/>
    <mergeCell ref="W209:X209"/>
    <mergeCell ref="A208:K208"/>
    <mergeCell ref="L208:M208"/>
    <mergeCell ref="N208:O208"/>
    <mergeCell ref="P208:R208"/>
    <mergeCell ref="S208:V208"/>
    <mergeCell ref="W208:X208"/>
    <mergeCell ref="A207:K207"/>
    <mergeCell ref="L207:M207"/>
    <mergeCell ref="N207:O207"/>
    <mergeCell ref="P207:R207"/>
    <mergeCell ref="S207:V207"/>
    <mergeCell ref="W207:X207"/>
    <mergeCell ref="A206:K206"/>
    <mergeCell ref="L206:M206"/>
    <mergeCell ref="N206:O206"/>
    <mergeCell ref="P206:R206"/>
    <mergeCell ref="S206:V206"/>
    <mergeCell ref="W206:X206"/>
    <mergeCell ref="A205:K205"/>
    <mergeCell ref="L205:M205"/>
    <mergeCell ref="N205:O205"/>
    <mergeCell ref="P205:R205"/>
    <mergeCell ref="S205:V205"/>
    <mergeCell ref="W205:X205"/>
    <mergeCell ref="A204:K204"/>
    <mergeCell ref="L204:M204"/>
    <mergeCell ref="N204:O204"/>
    <mergeCell ref="P204:R204"/>
    <mergeCell ref="S204:V204"/>
    <mergeCell ref="W204:X204"/>
    <mergeCell ref="A203:K203"/>
    <mergeCell ref="L203:M203"/>
    <mergeCell ref="N203:O203"/>
    <mergeCell ref="P203:R203"/>
    <mergeCell ref="S203:V203"/>
    <mergeCell ref="W203:X203"/>
    <mergeCell ref="A202:K202"/>
    <mergeCell ref="L202:M202"/>
    <mergeCell ref="N202:O202"/>
    <mergeCell ref="P202:R202"/>
    <mergeCell ref="S202:V202"/>
    <mergeCell ref="W202:X202"/>
    <mergeCell ref="A201:K201"/>
    <mergeCell ref="L201:M201"/>
    <mergeCell ref="N201:O201"/>
    <mergeCell ref="P201:R201"/>
    <mergeCell ref="S201:V201"/>
    <mergeCell ref="W201:X201"/>
    <mergeCell ref="A200:K200"/>
    <mergeCell ref="L200:M200"/>
    <mergeCell ref="N200:O200"/>
    <mergeCell ref="P200:R200"/>
    <mergeCell ref="S200:V200"/>
    <mergeCell ref="W200:X200"/>
    <mergeCell ref="A199:K199"/>
    <mergeCell ref="L199:M199"/>
    <mergeCell ref="N199:O199"/>
    <mergeCell ref="P199:R199"/>
    <mergeCell ref="S199:V199"/>
    <mergeCell ref="W199:X199"/>
    <mergeCell ref="A198:K198"/>
    <mergeCell ref="L198:M198"/>
    <mergeCell ref="N198:O198"/>
    <mergeCell ref="P198:R198"/>
    <mergeCell ref="S198:V198"/>
    <mergeCell ref="W198:X198"/>
    <mergeCell ref="A197:K197"/>
    <mergeCell ref="L197:M197"/>
    <mergeCell ref="N197:O197"/>
    <mergeCell ref="P197:R197"/>
    <mergeCell ref="S197:V197"/>
    <mergeCell ref="W197:X197"/>
    <mergeCell ref="A196:K196"/>
    <mergeCell ref="L196:M196"/>
    <mergeCell ref="N196:O196"/>
    <mergeCell ref="P196:R196"/>
    <mergeCell ref="S196:V196"/>
    <mergeCell ref="W196:X196"/>
    <mergeCell ref="A195:K195"/>
    <mergeCell ref="L195:M195"/>
    <mergeCell ref="N195:O195"/>
    <mergeCell ref="P195:R195"/>
    <mergeCell ref="S195:V195"/>
    <mergeCell ref="W195:X195"/>
    <mergeCell ref="A194:K194"/>
    <mergeCell ref="L194:M194"/>
    <mergeCell ref="N194:O194"/>
    <mergeCell ref="P194:R194"/>
    <mergeCell ref="S194:V194"/>
    <mergeCell ref="W194:X194"/>
    <mergeCell ref="A193:K193"/>
    <mergeCell ref="L193:M193"/>
    <mergeCell ref="N193:O193"/>
    <mergeCell ref="P193:R193"/>
    <mergeCell ref="S193:V193"/>
    <mergeCell ref="W193:X193"/>
    <mergeCell ref="A192:K192"/>
    <mergeCell ref="L192:M192"/>
    <mergeCell ref="N192:O192"/>
    <mergeCell ref="P192:R192"/>
    <mergeCell ref="S192:V192"/>
    <mergeCell ref="W192:X192"/>
    <mergeCell ref="A191:K191"/>
    <mergeCell ref="L191:M191"/>
    <mergeCell ref="N191:O191"/>
    <mergeCell ref="P191:R191"/>
    <mergeCell ref="S191:V191"/>
    <mergeCell ref="W191:X191"/>
    <mergeCell ref="A190:K190"/>
    <mergeCell ref="L190:M190"/>
    <mergeCell ref="N190:O190"/>
    <mergeCell ref="P190:R190"/>
    <mergeCell ref="S190:V190"/>
    <mergeCell ref="W190:X190"/>
    <mergeCell ref="A189:K189"/>
    <mergeCell ref="L189:M189"/>
    <mergeCell ref="N189:O189"/>
    <mergeCell ref="P189:R189"/>
    <mergeCell ref="S189:V189"/>
    <mergeCell ref="W189:X189"/>
    <mergeCell ref="A188:K188"/>
    <mergeCell ref="L188:M188"/>
    <mergeCell ref="N188:O188"/>
    <mergeCell ref="P188:R188"/>
    <mergeCell ref="S188:V188"/>
    <mergeCell ref="W188:X188"/>
    <mergeCell ref="A187:K187"/>
    <mergeCell ref="L187:M187"/>
    <mergeCell ref="N187:O187"/>
    <mergeCell ref="P187:R187"/>
    <mergeCell ref="S187:V187"/>
    <mergeCell ref="W187:X187"/>
    <mergeCell ref="A186:K186"/>
    <mergeCell ref="L186:M186"/>
    <mergeCell ref="N186:O186"/>
    <mergeCell ref="P186:R186"/>
    <mergeCell ref="S186:V186"/>
    <mergeCell ref="W186:X186"/>
    <mergeCell ref="A185:K185"/>
    <mergeCell ref="L185:M185"/>
    <mergeCell ref="N185:O185"/>
    <mergeCell ref="P185:R185"/>
    <mergeCell ref="S185:V185"/>
    <mergeCell ref="W185:X185"/>
    <mergeCell ref="A184:K184"/>
    <mergeCell ref="L184:M184"/>
    <mergeCell ref="N184:O184"/>
    <mergeCell ref="P184:R184"/>
    <mergeCell ref="S184:V184"/>
    <mergeCell ref="W184:X184"/>
    <mergeCell ref="A183:K183"/>
    <mergeCell ref="L183:M183"/>
    <mergeCell ref="N183:O183"/>
    <mergeCell ref="P183:R183"/>
    <mergeCell ref="S183:V183"/>
    <mergeCell ref="W183:X183"/>
    <mergeCell ref="A182:K182"/>
    <mergeCell ref="L182:M182"/>
    <mergeCell ref="N182:O182"/>
    <mergeCell ref="P182:R182"/>
    <mergeCell ref="S182:V182"/>
    <mergeCell ref="W182:X182"/>
    <mergeCell ref="A181:K181"/>
    <mergeCell ref="L181:M181"/>
    <mergeCell ref="N181:O181"/>
    <mergeCell ref="P181:R181"/>
    <mergeCell ref="S181:V181"/>
    <mergeCell ref="W181:X181"/>
    <mergeCell ref="A180:K180"/>
    <mergeCell ref="L180:M180"/>
    <mergeCell ref="N180:O180"/>
    <mergeCell ref="P180:R180"/>
    <mergeCell ref="S180:V180"/>
    <mergeCell ref="W180:X180"/>
    <mergeCell ref="A179:K179"/>
    <mergeCell ref="L179:M179"/>
    <mergeCell ref="N179:O179"/>
    <mergeCell ref="P179:R179"/>
    <mergeCell ref="S179:V179"/>
    <mergeCell ref="W179:X179"/>
    <mergeCell ref="A178:K178"/>
    <mergeCell ref="L178:M178"/>
    <mergeCell ref="N178:O178"/>
    <mergeCell ref="P178:R178"/>
    <mergeCell ref="S178:V178"/>
    <mergeCell ref="W178:X178"/>
    <mergeCell ref="A177:K177"/>
    <mergeCell ref="L177:M177"/>
    <mergeCell ref="N177:O177"/>
    <mergeCell ref="P177:R177"/>
    <mergeCell ref="S177:V177"/>
    <mergeCell ref="W177:X177"/>
    <mergeCell ref="A176:K176"/>
    <mergeCell ref="L176:M176"/>
    <mergeCell ref="N176:O176"/>
    <mergeCell ref="P176:R176"/>
    <mergeCell ref="S176:V176"/>
    <mergeCell ref="W176:X176"/>
    <mergeCell ref="A175:K175"/>
    <mergeCell ref="L175:M175"/>
    <mergeCell ref="N175:O175"/>
    <mergeCell ref="P175:R175"/>
    <mergeCell ref="S175:V175"/>
    <mergeCell ref="W175:X175"/>
    <mergeCell ref="A174:K174"/>
    <mergeCell ref="L174:M174"/>
    <mergeCell ref="N174:O174"/>
    <mergeCell ref="P174:R174"/>
    <mergeCell ref="S174:V174"/>
    <mergeCell ref="W174:X174"/>
    <mergeCell ref="A173:K173"/>
    <mergeCell ref="L173:M173"/>
    <mergeCell ref="N173:O173"/>
    <mergeCell ref="P173:R173"/>
    <mergeCell ref="S173:V173"/>
    <mergeCell ref="W173:X173"/>
    <mergeCell ref="A172:K172"/>
    <mergeCell ref="L172:M172"/>
    <mergeCell ref="N172:O172"/>
    <mergeCell ref="P172:R172"/>
    <mergeCell ref="S172:V172"/>
    <mergeCell ref="W172:X172"/>
    <mergeCell ref="A171:K171"/>
    <mergeCell ref="L171:M171"/>
    <mergeCell ref="N171:O171"/>
    <mergeCell ref="P171:R171"/>
    <mergeCell ref="S171:V171"/>
    <mergeCell ref="W171:X171"/>
    <mergeCell ref="A170:K170"/>
    <mergeCell ref="L170:M170"/>
    <mergeCell ref="N170:O170"/>
    <mergeCell ref="P170:R170"/>
    <mergeCell ref="S170:V170"/>
    <mergeCell ref="W170:X170"/>
    <mergeCell ref="A169:K169"/>
    <mergeCell ref="L169:M169"/>
    <mergeCell ref="N169:O169"/>
    <mergeCell ref="P169:R169"/>
    <mergeCell ref="S169:V169"/>
    <mergeCell ref="W169:X169"/>
    <mergeCell ref="A168:K168"/>
    <mergeCell ref="L168:M168"/>
    <mergeCell ref="N168:O168"/>
    <mergeCell ref="P168:R168"/>
    <mergeCell ref="S168:V168"/>
    <mergeCell ref="W168:X168"/>
    <mergeCell ref="A167:K167"/>
    <mergeCell ref="L167:M167"/>
    <mergeCell ref="N167:O167"/>
    <mergeCell ref="P167:R167"/>
    <mergeCell ref="S167:V167"/>
    <mergeCell ref="W167:X167"/>
    <mergeCell ref="A166:K166"/>
    <mergeCell ref="L166:M166"/>
    <mergeCell ref="N166:O166"/>
    <mergeCell ref="P166:R166"/>
    <mergeCell ref="S166:V166"/>
    <mergeCell ref="W166:X166"/>
    <mergeCell ref="A165:K165"/>
    <mergeCell ref="L165:M165"/>
    <mergeCell ref="N165:O165"/>
    <mergeCell ref="P165:R165"/>
    <mergeCell ref="S165:V165"/>
    <mergeCell ref="W165:X165"/>
    <mergeCell ref="A164:K164"/>
    <mergeCell ref="L164:M164"/>
    <mergeCell ref="N164:O164"/>
    <mergeCell ref="P164:R164"/>
    <mergeCell ref="S164:V164"/>
    <mergeCell ref="W164:X164"/>
    <mergeCell ref="A163:K163"/>
    <mergeCell ref="L163:M163"/>
    <mergeCell ref="N163:O163"/>
    <mergeCell ref="P163:R163"/>
    <mergeCell ref="S163:V163"/>
    <mergeCell ref="W163:X163"/>
    <mergeCell ref="A162:K162"/>
    <mergeCell ref="L162:M162"/>
    <mergeCell ref="N162:O162"/>
    <mergeCell ref="P162:R162"/>
    <mergeCell ref="S162:V162"/>
    <mergeCell ref="W162:X162"/>
    <mergeCell ref="A161:K161"/>
    <mergeCell ref="L161:M161"/>
    <mergeCell ref="N161:O161"/>
    <mergeCell ref="P161:R161"/>
    <mergeCell ref="S161:V161"/>
    <mergeCell ref="W161:X161"/>
    <mergeCell ref="A160:K160"/>
    <mergeCell ref="L160:M160"/>
    <mergeCell ref="N160:O160"/>
    <mergeCell ref="P160:R160"/>
    <mergeCell ref="S160:V160"/>
    <mergeCell ref="W160:X160"/>
    <mergeCell ref="A159:K159"/>
    <mergeCell ref="L159:M159"/>
    <mergeCell ref="N159:O159"/>
    <mergeCell ref="P159:R159"/>
    <mergeCell ref="S159:V159"/>
    <mergeCell ref="W159:X159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3:K153"/>
    <mergeCell ref="L153:M153"/>
    <mergeCell ref="N153:O153"/>
    <mergeCell ref="P153:R153"/>
    <mergeCell ref="S153:V153"/>
    <mergeCell ref="W153:X153"/>
    <mergeCell ref="A152:K152"/>
    <mergeCell ref="L152:M152"/>
    <mergeCell ref="N152:O152"/>
    <mergeCell ref="P152:R152"/>
    <mergeCell ref="S152:V152"/>
    <mergeCell ref="W152:X152"/>
    <mergeCell ref="A151:K151"/>
    <mergeCell ref="L151:M151"/>
    <mergeCell ref="N151:O151"/>
    <mergeCell ref="P151:R151"/>
    <mergeCell ref="S151:V151"/>
    <mergeCell ref="W151:X151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0:X90"/>
    <mergeCell ref="A91:K91"/>
    <mergeCell ref="L91:M91"/>
    <mergeCell ref="N91:O91"/>
    <mergeCell ref="P91:R91"/>
    <mergeCell ref="S91:V91"/>
    <mergeCell ref="W91:X91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1:X11"/>
    <mergeCell ref="A12:K12"/>
    <mergeCell ref="L12:M12"/>
    <mergeCell ref="N12:O12"/>
    <mergeCell ref="P12:R12"/>
    <mergeCell ref="S12:V12"/>
    <mergeCell ref="W12:X12"/>
    <mergeCell ref="A8:F8"/>
    <mergeCell ref="G8:T8"/>
    <mergeCell ref="U8:W8"/>
    <mergeCell ref="B9:W9"/>
    <mergeCell ref="A10:D10"/>
    <mergeCell ref="E10:S10"/>
    <mergeCell ref="T10:W10"/>
    <mergeCell ref="P1:X2"/>
    <mergeCell ref="A3:W3"/>
    <mergeCell ref="A4:W4"/>
    <mergeCell ref="A5:U5"/>
    <mergeCell ref="V5:W5"/>
    <mergeCell ref="A6:E7"/>
    <mergeCell ref="F6:T7"/>
    <mergeCell ref="U6:W6"/>
    <mergeCell ref="U7:W7"/>
  </mergeCells>
  <printOptions/>
  <pageMargins left="0.3937007874015748" right="0" top="0.3937007874015748" bottom="0" header="0.5" footer="0.5"/>
  <pageSetup horizontalDpi="600" verticalDpi="600" orientation="landscape" paperSize="9" scale="96" r:id="rId1"/>
  <headerFooter alignWithMargins="0">
    <oddFooter>&amp;CСтраница &amp;С из &amp;К</oddFooter>
  </headerFooter>
  <rowBreaks count="2" manualBreakCount="2">
    <brk id="89" max="255" man="1"/>
    <brk id="2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2023-10-09T05:21:54Z</cp:lastPrinted>
  <dcterms:created xsi:type="dcterms:W3CDTF">2023-10-06T02:23:45Z</dcterms:created>
  <dcterms:modified xsi:type="dcterms:W3CDTF">2023-10-09T05:23:18Z</dcterms:modified>
  <cp:category/>
  <cp:version/>
  <cp:contentType/>
  <cp:contentStatus/>
</cp:coreProperties>
</file>